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<sst xmlns="http://schemas.openxmlformats.org/spreadsheetml/2006/main" count="112" uniqueCount="100">
  <si>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NEXT plc (NXT.L)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</si>
  <si>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</si>
  <si>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</si>
  <si>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</si>
  <si>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</si>
  <si>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</si>
  <si>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</si>
  <si>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</si>
  <si>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</si>
  <si>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</si>
  <si>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</si>
  <si>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</si>
  <si>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</si>
  <si>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</si>
  <si>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</si>
  <si>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</si>
  <si>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</si>
  <si>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</si>
  <si>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</si>
  <si>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</si>
  <si>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</si>
  <si>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</si>
  <si>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</si>
  <si>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</si>
  <si>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</si>
  <si>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</si>
  <si>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</si>
  <si>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</si>
  <si>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</si>
  <si>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</si>
  <si>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2026-01-31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</si>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</sst>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0.11089385678606178</v>
      </c>
    </row>
    <row r="7" spans="1:2" x14ac:dyDescent="0.25">
      <c r="A7" t="s">
        <v>5</v>
      </c>
      <c r="B7" s="6">
        <v>0.18107190113262256</v>
      </c>
    </row>
    <row r="8" spans="1:2" x14ac:dyDescent="0.25">
      <c r="A8" t="s">
        <v>6</v>
      </c>
      <c r="B8" s="6">
        <v>0.22948115818696807</v>
      </c>
    </row>
    <row r="9" spans="1:2" x14ac:dyDescent="0.25">
      <c r="A9" t="s">
        <v>7</v>
      </c>
      <c r="B9" s="6">
        <v>0.04426687541676834</v>
      </c>
    </row>
    <row r="10" spans="1:2" x14ac:dyDescent="0.25">
      <c r="A10" t="s">
        <v>8</v>
      </c>
      <c r="B10" s="6">
        <v>0.033428009573244745</v>
      </c>
    </row>
    <row r="11" spans="1:2" x14ac:dyDescent="0.25">
      <c r="A11" t="s">
        <v>9</v>
      </c>
      <c r="B11" s="6">
        <v>0.09472173497049913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11.125693792418884</v>
      </c>
    </row>
    <row r="14" spans="1:3" x14ac:dyDescent="0.25">
      <c r="A14" t="s">
        <v>12</v>
      </c>
      <c r="B14" s="6">
        <v>0.3429864264599055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1.02747</v>
      </c>
      <c r="C19" s="8" t="s">
        <v>19</v>
      </c>
    </row>
    <row r="20" spans="1:2" x14ac:dyDescent="0.25">
      <c r="A20" t="s">
        <v>20</v>
      </c>
      <c r="B20" s="10">
        <f>B17+B19*B18</f>
        <v>0.10151085000000001</v>
      </c>
    </row>
    <row r="21" spans="1:3" x14ac:dyDescent="0.25">
      <c r="A21" t="s">
        <v>21</v>
      </c>
      <c r="B21" s="6">
        <v>0.05286199864038069</v>
      </c>
      <c r="C21" s="8" t="s">
        <v>22</v>
      </c>
    </row>
    <row r="22" spans="1:2" x14ac:dyDescent="0.25">
      <c r="A22" t="s">
        <v>23</v>
      </c>
      <c r="B22" s="11">
        <v>16221005824</v>
      </c>
    </row>
    <row r="23" spans="1:2" x14ac:dyDescent="0.25">
      <c r="A23" t="s">
        <v>24</v>
      </c>
      <c r="B23" s="11">
        <v>1808700000</v>
      </c>
    </row>
    <row r="24" spans="1:2" x14ac:dyDescent="0.25">
      <c r="A24" t="s">
        <v>25</v>
      </c>
      <c r="B24" s="10">
        <f>B22/(B22+B23)</f>
        <v>0.8996822234563376</v>
      </c>
    </row>
    <row r="25" spans="1:2" x14ac:dyDescent="0.25">
      <c r="A25" t="s">
        <v>26</v>
      </c>
      <c r="B25" s="10">
        <f>1-B24</f>
        <v>0.10031777654366236</v>
      </c>
    </row>
    <row r="26" spans="1:2" x14ac:dyDescent="0.25">
      <c r="A26" t="s">
        <v>27</v>
      </c>
      <c r="B26" s="12">
        <f>B24*B20+B25*B21*(1-B8)</f>
        <v>0.09541356723891435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6901300000</v>
      </c>
      <c r="C29" s="8" t="s">
        <v>30</v>
      </c>
    </row>
    <row r="30" spans="1:2" x14ac:dyDescent="0.25">
      <c r="A30" t="s">
        <v>31</v>
      </c>
      <c r="B30" s="11">
        <v>1712500000</v>
      </c>
    </row>
    <row r="31" spans="1:2" x14ac:dyDescent="0.25">
      <c r="A31" t="s">
        <v>32</v>
      </c>
      <c r="B31" s="13">
        <v>119200000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0.11089385678606178</v>
      </c>
      <c r="C5" s="10">
        <f>Assumptions!B6</f>
        <v>0.11089385678606178</v>
      </c>
      <c r="D5" s="10">
        <f>Assumptions!B6</f>
        <v>0.11089385678606178</v>
      </c>
      <c r="E5" s="10">
        <f>Assumptions!B6</f>
        <v>0.11089385678606178</v>
      </c>
      <c r="F5" s="10">
        <f>Assumptions!B6</f>
        <v>0.11089385678606178</v>
      </c>
    </row>
    <row r="6" spans="1:6" x14ac:dyDescent="0.25">
      <c r="A6" t="s">
        <v>43</v>
      </c>
      <c r="B6" s="18">
        <f>Assumptions!B29*(1+B5)</f>
        <v>7666611773.837648</v>
      </c>
      <c r="C6" s="18">
        <f>B6*(1+C5)</f>
        <v>8516791921.919935</v>
      </c>
      <c r="D6" s="18">
        <f>C6*(1+D5)</f>
        <v>9461251825.586012</v>
      </c>
      <c r="E6" s="18">
        <f>D6*(1+E5)</f>
        <v>10510446530.549412</v>
      </c>
      <c r="F6" s="18">
        <f>E6*(1+F5)</f>
        <v>11675990482.865719</v>
      </c>
    </row>
    <row r="7" spans="1:6" x14ac:dyDescent="0.25">
      <c r="A7" t="s">
        <v>5</v>
      </c>
      <c r="B7" s="10">
        <f>Assumptions!B7</f>
        <v>0.18107190113262256</v>
      </c>
      <c r="C7" s="10">
        <f>Assumptions!B7</f>
        <v>0.18107190113262256</v>
      </c>
      <c r="D7" s="10">
        <f>Assumptions!B7</f>
        <v>0.18107190113262256</v>
      </c>
      <c r="E7" s="10">
        <f>Assumptions!B7</f>
        <v>0.18107190113262256</v>
      </c>
      <c r="F7" s="10">
        <f>Assumptions!B7</f>
        <v>0.18107190113262256</v>
      </c>
    </row>
    <row r="8" spans="1:6" x14ac:dyDescent="0.25">
      <c r="A8" t="s">
        <v>44</v>
      </c>
      <c r="B8" s="18">
        <f>B6*B7</f>
        <v>1388207969.1345308</v>
      </c>
      <c r="C8" s="18">
        <f>C6*C7</f>
        <v>1542151704.853005</v>
      </c>
      <c r="D8" s="18">
        <f>D6*D7</f>
        <v>1713166855.1533551</v>
      </c>
      <c r="E8" s="18">
        <f>E6*E7</f>
        <v>1903146535.0393589</v>
      </c>
      <c r="F8" s="18">
        <f>F6*F7</f>
        <v>2114193794.3389034</v>
      </c>
    </row>
    <row r="9" spans="1:6" x14ac:dyDescent="0.25">
      <c r="A9" t="s">
        <v>45</v>
      </c>
      <c r="B9" s="18">
        <f>B8*(1-Assumptions!B8)</f>
        <v>1069640396.5731599</v>
      </c>
      <c r="C9" s="18">
        <f>C8*(1-Assumptions!B8)</f>
        <v>1188256945.5233302</v>
      </c>
      <c r="D9" s="18">
        <f>D8*(1-Assumptions!B8)</f>
        <v>1320027341.0652375</v>
      </c>
      <c r="E9" s="18">
        <f>E8*(1-Assumptions!B8)</f>
        <v>1466410263.9790118</v>
      </c>
      <c r="F9" s="18">
        <f>F8*(1-Assumptions!B8)</f>
        <v>1629026153.7823114</v>
      </c>
    </row>
    <row r="10" spans="1:6" x14ac:dyDescent="0.25">
      <c r="A10" t="s">
        <v>46</v>
      </c>
      <c r="B10" s="18">
        <f>B6*Assumptions!B9</f>
        <v>339376948.2612005</v>
      </c>
      <c r="C10" s="18">
        <f>C6*Assumptions!B9</f>
        <v>377011766.95816875</v>
      </c>
      <c r="D10" s="18">
        <f>D6*Assumptions!B9</f>
        <v>418820055.849888</v>
      </c>
      <c r="E10" s="18">
        <f>E6*Assumptions!B9</f>
        <v>465264627.14243585</v>
      </c>
      <c r="F10" s="18">
        <f>F6*Assumptions!B9</f>
        <v>516859616.0723896</v>
      </c>
    </row>
    <row r="11" spans="1:6" x14ac:dyDescent="0.25">
      <c r="A11" t="s">
        <v>47</v>
      </c>
      <c r="B11" s="18">
        <f>-B6*Assumptions!B10</f>
        <v>-256279571.77019578</v>
      </c>
      <c r="C11" s="18">
        <f>-C6*Assumptions!B10</f>
        <v>-284699401.8992731</v>
      </c>
      <c r="D11" s="18">
        <f>-D6*Assumptions!B10</f>
        <v>-316270816.60056853</v>
      </c>
      <c r="E11" s="18">
        <f>-E6*Assumptions!B10</f>
        <v>-351343307.24228275</v>
      </c>
      <c r="F11" s="18">
        <f>-F6*Assumptions!B10</f>
        <v>-390305121.6383498</v>
      </c>
    </row>
    <row r="12" spans="1:6" x14ac:dyDescent="0.25">
      <c r="A12" t="s">
        <v>48</v>
      </c>
      <c r="B12" s="18">
        <f>-(B6-Assumptions!B29)*Assumptions!B11</f>
        <v>-72491659.0112523</v>
      </c>
      <c r="C12" s="18">
        <f>-(C6-B6)*Assumptions!B11</f>
        <v>-80530538.66383007</v>
      </c>
      <c r="D12" s="18">
        <f>-(D6-C6)*Assumptions!B11</f>
        <v>-89460880.68532126</v>
      </c>
      <c r="E12" s="18">
        <f>-(E6-D6)*Assumptions!B11</f>
        <v>-99381542.7759942</v>
      </c>
      <c r="F12" s="18">
        <f>-(F6-E6)*Assumptions!B11</f>
        <v>-110402345.34777331</v>
      </c>
    </row>
    <row r="13" spans="1:6" x14ac:dyDescent="0.25">
      <c r="A13" s="19" t="s">
        <v>49</v>
      </c>
      <c r="B13" s="20">
        <f>B9+B10+B11+B12</f>
        <v>1080246114.0529122</v>
      </c>
      <c r="C13" s="20">
        <f>C9+C10+C11+C12</f>
        <v>1200038771.9183958</v>
      </c>
      <c r="D13" s="20">
        <f>D9+D10+D11+D12</f>
        <v>1333115699.6292357</v>
      </c>
      <c r="E13" s="20">
        <f>E9+E10+E11+E12</f>
        <v>1480950041.1031704</v>
      </c>
      <c r="F13" s="20">
        <f>F9+F10+F11+F12</f>
        <v>1645178302.868578</v>
      </c>
    </row>
    <row r="14" spans="1:6" x14ac:dyDescent="0.25">
      <c r="A14" t="s">
        <v>50</v>
      </c>
      <c r="B14" s="21">
        <f>1/(1+Assumptions!$B$26)^(1-0.5*Assumptions!$B$32)</f>
        <v>0.9554565504207583</v>
      </c>
      <c r="C14" s="21">
        <f>1/(1+Assumptions!$B$26)^(2-0.5*Assumptions!$B$32)</f>
        <v>0.8722336284633303</v>
      </c>
      <c r="D14" s="21">
        <f>1/(1+Assumptions!$B$26)^(3-0.5*Assumptions!$B$32)</f>
        <v>0.796259654389594</v>
      </c>
      <c r="E14" s="21">
        <f>1/(1+Assumptions!$B$26)^(4-0.5*Assumptions!$B$32)</f>
        <v>0.7269032246849344</v>
      </c>
      <c r="F14" s="21">
        <f>1/(1+Assumptions!$B$26)^(5-0.5*Assumptions!$B$32)</f>
        <v>0.6635879328363238</v>
      </c>
    </row>
    <row r="15" spans="1:6" x14ac:dyDescent="0.25">
      <c r="A15" s="19" t="s">
        <v>51</v>
      </c>
      <c r="B15" s="20">
        <f>B13*B14</f>
        <v>1032128225.7384245</v>
      </c>
      <c r="C15" s="20">
        <f>C13*C14</f>
        <v>1046714172.3270612</v>
      </c>
      <c r="D15" s="20">
        <f>D13*D14</f>
        <v>1061506246.2481171</v>
      </c>
      <c r="E15" s="20">
        <f>E13*E14</f>
        <v>1076507360.4751806</v>
      </c>
      <c r="F15" s="20">
        <f>F13*F14</f>
        <v>1091720469.147731</v>
      </c>
    </row>
    <row r="17" spans="1:2" x14ac:dyDescent="0.25">
      <c r="A17" s="22" t="s">
        <v>52</v>
      </c>
      <c r="B17" s="23">
        <f>SUM(B15:F15)</f>
        <v>5308576473.936515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1645178302.868578</v>
      </c>
    </row>
    <row r="5" spans="1:2" x14ac:dyDescent="0.25">
      <c r="A5" t="s">
        <v>56</v>
      </c>
      <c r="B5" s="18">
        <f>IF(Assumptions!$B$33=0,B4,B4-Forecast!F11-Forecast!F10-Forecast!F12)</f>
        <v>1689934288.9467793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0.07288918181991805</v>
      </c>
    </row>
    <row r="7" spans="1:2" x14ac:dyDescent="0.25">
      <c r="A7" t="s">
        <v>58</v>
      </c>
      <c r="B7" s="18">
        <f>-MAX(Forecast!F9,0)*B6</f>
        <v>-123177927.65075572</v>
      </c>
    </row>
    <row r="8" spans="1:2" x14ac:dyDescent="0.25">
      <c r="A8" t="s">
        <v>59</v>
      </c>
      <c r="B8" s="18">
        <f>IF(OR(Assumptions!$B$33=0,Assumptions!B12&lt;=0),B5,MAX(B5+B7,0))</f>
        <v>1566756361.2960236</v>
      </c>
    </row>
    <row r="9" spans="1:2" x14ac:dyDescent="0.25">
      <c r="A9" t="s">
        <v>60</v>
      </c>
      <c r="B9" s="18">
        <f>B8*(1+Assumptions!B12)/(Assumptions!B26-Assumptions!B12)</f>
        <v>22807043206.311283</v>
      </c>
    </row>
    <row r="10" spans="1:2" x14ac:dyDescent="0.25">
      <c r="A10" t="s">
        <v>61</v>
      </c>
      <c r="B10" s="18">
        <f>B9/(1+Assumptions!B26)^(5-0.5*Assumptions!B32)</f>
        <v>15134478655.384827</v>
      </c>
    </row>
    <row r="11" spans="1:2" x14ac:dyDescent="0.25">
      <c r="A11" t="s">
        <v>62</v>
      </c>
      <c r="B11" s="18">
        <f>Forecast!B17+B10</f>
        <v>20443055129.321342</v>
      </c>
    </row>
    <row r="12" spans="1:2" x14ac:dyDescent="0.25">
      <c r="A12" t="s">
        <v>63</v>
      </c>
      <c r="B12" s="18">
        <f>-Assumptions!B30</f>
        <v>-1712500000</v>
      </c>
    </row>
    <row r="13" spans="1:2" x14ac:dyDescent="0.25">
      <c r="A13" t="s">
        <v>64</v>
      </c>
      <c r="B13" s="18">
        <f>B11+B12</f>
        <v>18730555129.321342</v>
      </c>
    </row>
    <row r="14" spans="1:2" x14ac:dyDescent="0.25">
      <c r="A14" s="19" t="s">
        <v>65</v>
      </c>
      <c r="B14" s="24">
        <f>B13/Assumptions!B31</f>
        <v>157.13552960840053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2631053410.411293</v>
      </c>
    </row>
    <row r="18" spans="1:2" x14ac:dyDescent="0.25">
      <c r="A18" t="s">
        <v>60</v>
      </c>
      <c r="B18" s="18">
        <f>B17*Assumptions!B13</f>
        <v>29272294595.73546</v>
      </c>
    </row>
    <row r="19" spans="1:2" x14ac:dyDescent="0.25">
      <c r="A19" t="s">
        <v>61</v>
      </c>
      <c r="B19" s="18">
        <f>B18/(1+Assumptions!B26)^(5-0.5*Assumptions!B32)</f>
        <v>19424741460.159985</v>
      </c>
    </row>
    <row r="20" spans="1:2" x14ac:dyDescent="0.25">
      <c r="A20" t="s">
        <v>62</v>
      </c>
      <c r="B20" s="18">
        <f>Forecast!B17+B19</f>
        <v>24733317934.0965</v>
      </c>
    </row>
    <row r="21" spans="1:2" x14ac:dyDescent="0.25">
      <c r="A21" t="s">
        <v>63</v>
      </c>
      <c r="B21" s="18">
        <f>-Assumptions!B30</f>
        <v>-1712500000</v>
      </c>
    </row>
    <row r="22" spans="1:2" x14ac:dyDescent="0.25">
      <c r="A22" t="s">
        <v>64</v>
      </c>
      <c r="B22" s="18">
        <f>B20+B21</f>
        <v>23020817934.0965</v>
      </c>
    </row>
    <row r="23" spans="1:2" x14ac:dyDescent="0.25">
      <c r="A23" s="19" t="s">
        <v>65</v>
      </c>
      <c r="B23" s="25">
        <f>B22/Assumptions!B31</f>
        <v>193.1276672323532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14210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15713.552960840054</v>
      </c>
    </row>
    <row r="29" spans="1:2" x14ac:dyDescent="0.25">
      <c r="A29" s="19" t="s">
        <v>73</v>
      </c>
      <c r="B29" s="12">
        <f>B28/B26-1</f>
        <v>0.10580949759606284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0.075414</v>
      </c>
      <c r="B5" s="31">
        <v>196.52197761132322</v>
      </c>
      <c r="C5" s="31">
        <v>209.47823424069372</v>
      </c>
      <c r="D5" s="31">
        <v>224.97490688040037</v>
      </c>
      <c r="E5" s="31">
        <v>243.85108127834116</v>
      </c>
      <c r="F5" s="31">
        <v>267.3610882697096</v>
      </c>
    </row>
    <row r="6" spans="1:6" x14ac:dyDescent="0.25">
      <c r="A6" s="30">
        <v>0.085414</v>
      </c>
      <c r="B6" s="31">
        <v>166.361851940614</v>
      </c>
      <c r="C6" s="31">
        <v>175.17983316513977</v>
      </c>
      <c r="D6" s="31">
        <v>185.4337491958419</v>
      </c>
      <c r="E6" s="31">
        <v>197.5122928196091</v>
      </c>
      <c r="F6" s="31">
        <v>211.95835715930352</v>
      </c>
    </row>
    <row r="7" spans="1:6" x14ac:dyDescent="0.25">
      <c r="A7" s="30">
        <v>0.095414</v>
      </c>
      <c r="B7" s="31">
        <v>143.72294384390153</v>
      </c>
      <c r="C7" s="31">
        <v>149.9932073594857</v>
      </c>
      <c r="D7" s="32">
        <v>157.1344790748538</v>
      </c>
      <c r="E7" s="31">
        <v>165.34648875728442</v>
      </c>
      <c r="F7" s="31">
        <v>174.8950865326744</v>
      </c>
    </row>
    <row r="8" spans="1:6" x14ac:dyDescent="0.25">
      <c r="A8" s="30">
        <v>0.105414</v>
      </c>
      <c r="B8" s="31">
        <v>126.10887254830958</v>
      </c>
      <c r="C8" s="31">
        <v>130.7174562421046</v>
      </c>
      <c r="D8" s="31">
        <v>135.88277541091242</v>
      </c>
      <c r="E8" s="31">
        <v>141.7155658879364</v>
      </c>
      <c r="F8" s="31">
        <v>148.35801629508754</v>
      </c>
    </row>
    <row r="9" spans="1:6" x14ac:dyDescent="0.25">
      <c r="A9" s="30">
        <v>0.115414</v>
      </c>
      <c r="B9" s="31">
        <v>112.01772862666783</v>
      </c>
      <c r="C9" s="31">
        <v>115.49360173678251</v>
      </c>
      <c r="D9" s="31">
        <v>119.33993192811239</v>
      </c>
      <c r="E9" s="31">
        <v>123.62177710941052</v>
      </c>
      <c r="F9" s="31">
        <v>128.4203759312791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6901300000</v>
      </c>
      <c r="C5" s="18">
        <v>6118100000</v>
      </c>
      <c r="D5" s="18">
        <v>5491000000</v>
      </c>
      <c r="E5" s="18">
        <v>5034000000</v>
      </c>
      <c r="F5" s="8" t="s">
        <v>84</v>
      </c>
    </row>
    <row r="6" spans="1:6" x14ac:dyDescent="0.25">
      <c r="A6" t="s">
        <v>44</v>
      </c>
      <c r="B6" s="18">
        <v>1277200000</v>
      </c>
      <c r="C6" s="18">
        <v>1092800000</v>
      </c>
      <c r="D6" s="18">
        <v>968700000</v>
      </c>
      <c r="E6" s="18">
        <v>927200000</v>
      </c>
      <c r="F6" s="8" t="s">
        <v>85</v>
      </c>
    </row>
    <row r="7" spans="1:6" x14ac:dyDescent="0.25">
      <c r="A7" t="s">
        <v>86</v>
      </c>
      <c r="B7" s="18">
        <v>334700000</v>
      </c>
      <c r="C7" s="18">
        <v>311000000</v>
      </c>
      <c r="D7" s="18">
        <v>246000000</v>
      </c>
      <c r="E7" s="18">
        <v>165800000</v>
      </c>
      <c r="F7" s="8" t="s">
        <v>87</v>
      </c>
    </row>
    <row r="8" spans="1:6" x14ac:dyDescent="0.25">
      <c r="A8" t="s">
        <v>88</v>
      </c>
      <c r="B8" s="18">
        <v>171200000</v>
      </c>
      <c r="C8" s="18">
        <v>157500000</v>
      </c>
      <c r="D8" s="18">
        <v>188200000</v>
      </c>
      <c r="E8" s="18">
        <v>246100000</v>
      </c>
      <c r="F8" s="8" t="s">
        <v>89</v>
      </c>
    </row>
    <row r="9" spans="1:6" x14ac:dyDescent="0.25">
      <c r="A9" t="s">
        <v>90</v>
      </c>
      <c r="B9" s="18">
        <v>187000000</v>
      </c>
      <c r="C9" s="18">
        <v>59400000</v>
      </c>
      <c r="D9" s="18">
        <v>-66600000</v>
      </c>
      <c r="E9" s="18">
        <v>167300000</v>
      </c>
      <c r="F9" s="8" t="s">
        <v>91</v>
      </c>
    </row>
    <row r="10" spans="1:6" x14ac:dyDescent="0.25">
      <c r="A10" t="s">
        <v>92</v>
      </c>
      <c r="B10" s="18">
        <v>1808700000</v>
      </c>
      <c r="C10" s="18">
        <v>1868800000</v>
      </c>
      <c r="D10" s="18">
        <v>1916700000</v>
      </c>
      <c r="E10" s="18">
        <v>1916300000</v>
      </c>
      <c r="F10" s="8" t="s">
        <v>93</v>
      </c>
    </row>
    <row r="11" spans="1:6" x14ac:dyDescent="0.25">
      <c r="A11" t="s">
        <v>94</v>
      </c>
      <c r="B11" s="18">
        <v>96200000</v>
      </c>
      <c r="C11" s="18">
        <v>200400000</v>
      </c>
      <c r="D11" s="18">
        <v>188300000</v>
      </c>
      <c r="E11" s="18">
        <v>105000000</v>
      </c>
      <c r="F11" s="8" t="s">
        <v>95</v>
      </c>
    </row>
    <row r="12" spans="1:6" x14ac:dyDescent="0.25">
      <c r="A12" t="s">
        <v>32</v>
      </c>
      <c r="B12" s="34">
        <v>119200000</v>
      </c>
      <c r="C12" s="34">
        <v>121600000</v>
      </c>
      <c r="D12" s="34">
        <v>122320476</v>
      </c>
      <c r="E12" s="34">
        <v>124750219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2026-09-19T00:07:14Z</dcterms:modified>
</cp:coreProperties>
</file>