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<sst xmlns="http://schemas.openxmlformats.org/spreadsheetml/2006/main" count="120" uniqueCount="107">
  <si>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Realty Income Corporation (O)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</si>
  <si>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</si>
  <si>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</si>
  <si>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</si>
  <si>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</si>
  <si>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</si>
  <si>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</si>
  <si>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</si>
  <si>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</si>
  <si>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</si>
  <si>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</si>
  <si>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</si>
  <si>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</si>
  <si>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</si>
  <si>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</si>
  <si>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</si>
  <si>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</si>
  <si>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</si>
  <si>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</si>
  <si>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</si>
  <si>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</si>
  <si>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</si>
  <si>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</si>
  <si>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</si>
  <si>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+ 138bp, the spread for a BB+ rating at 2.3x interest cover. Book interest / average debt was lower, at 3.9%.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</si>
  <si>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</si>
  <si>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</si>
  <si>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</si>
  <si>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</si>
  <si>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</si>
  <si>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</si>
  <si>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</si>
  <si>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</si>
  <si>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</si>
  <si>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</si>
  <si>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</si>
  <si>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</si>
  <si>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</si>
  <si>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</si>
  <si>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</si>
  <si>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</si>
  <si>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</si>
  <si>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</si>
  <si>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</si>
  <si>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</si>
  <si>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</si>
  <si>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</si>
  <si>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</si>
  <si>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</si>
  <si>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</si>
  <si>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</si>
  <si>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</si>
  <si>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</si>
  <si>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</si>
  <si>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</si>
  <si>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</si>
  <si>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</si>
  <si>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</si>
  <si>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</si>
  <si>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</si>
  <si>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</si>
  <si>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</si>
  <si>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</si>
  <si>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</si>
  <si>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</si>
  <si>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</si>
  <si>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</si>
  <si>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</si>
  <si>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</si>
  <si>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</si>
  <si>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</si>
  <si>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</si>
  <si>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</si>
  <si>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</si>
  <si>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</si>
  <si>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</si>
  <si>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</si>
  <si>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</si>
  <si>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</si>
  <si>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</si>
  <si>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</si>
  <si>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</si>
  <si>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</si>
  <si>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</si>
  <si>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</si>
  <si>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</si>
  <si>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</si>
  <si>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</si>
  <si>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</si>
  <si>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</si>
  <si>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</si>
  <si>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</si>
  <si>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</si>
  <si>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</si>
  <si>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</si>
  <si>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</si>
  <si>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</si>
  <si>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</si>
  <si>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</si>
  <si>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</si>
  <si>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</si>
  <si>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</si>
  <si>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</si>
  <si>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</si>
  <si>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</si>
  <si>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0.00% of revenue, which is too low to be the company's real investment - property trusts and similar structures invest through lines that are not reported as capex. Capex has been set to 46.44%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</si>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</sst>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0.005728801572761677</v>
      </c>
    </row>
    <row r="7" spans="1:2" x14ac:dyDescent="0.25">
      <c r="A7" t="s">
        <v>4</v>
      </c>
      <c r="B7" s="5">
        <v>0.426258369702001</v>
      </c>
    </row>
    <row r="8" spans="1:2" x14ac:dyDescent="0.25">
      <c r="A8" t="s">
        <v>5</v>
      </c>
      <c r="B8" s="5">
        <v>0.06365619891258119</v>
      </c>
    </row>
    <row r="9" spans="1:2" x14ac:dyDescent="0.25">
      <c r="A9" t="s">
        <v>6</v>
      </c>
      <c r="B9" s="5">
        <v>0.4644266325788678</v>
      </c>
    </row>
    <row r="10" spans="1:3" x14ac:dyDescent="0.25">
      <c r="A10" t="s">
        <v>7</v>
      </c>
      <c r="B10" s="5">
        <v>0.4644266325788678</v>
      </c>
      <c r="C10" s="6" t="s">
        <v>8</v>
      </c>
    </row>
    <row r="11" spans="1:2" x14ac:dyDescent="0.25">
      <c r="A11" t="s">
        <v>9</v>
      </c>
      <c r="B11" s="5">
        <v>-0.16278189592982528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16.174057002870054</v>
      </c>
    </row>
    <row r="14" spans="1:3" x14ac:dyDescent="0.25">
      <c r="A14" t="s">
        <v>12</v>
      </c>
      <c r="B14" s="5">
        <v>0.07420359564167192</v>
      </c>
      <c r="C14" s="6" t="s">
        <v>13</v>
      </c>
    </row>
    <row r="15" spans="1:3" x14ac:dyDescent="0.25">
      <c r="A15" t="s">
        <v>14</v>
      </c>
      <c r="B15" s="5">
        <v>0.4644266325788678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0.7963199999999999</v>
      </c>
      <c r="C19" s="6" t="s">
        <v>21</v>
      </c>
    </row>
    <row r="20" spans="1:2" x14ac:dyDescent="0.25">
      <c r="A20" t="s">
        <v>22</v>
      </c>
      <c r="B20" s="9">
        <f>B17+B19*B18</f>
        <v>0.08262433599999999</v>
      </c>
    </row>
    <row r="21" spans="1:3" x14ac:dyDescent="0.25">
      <c r="A21" t="s">
        <v>23</v>
      </c>
      <c r="B21" s="5">
        <v>0.06274</v>
      </c>
      <c r="C21" s="6" t="s">
        <v>24</v>
      </c>
    </row>
    <row r="22" spans="1:2" x14ac:dyDescent="0.25">
      <c r="A22" t="s">
        <v>25</v>
      </c>
      <c r="B22" s="10">
        <v>53868191744</v>
      </c>
    </row>
    <row r="23" spans="1:2" x14ac:dyDescent="0.25">
      <c r="A23" t="s">
        <v>26</v>
      </c>
      <c r="B23" s="10">
        <v>29345846000</v>
      </c>
    </row>
    <row r="24" spans="1:2" x14ac:dyDescent="0.25">
      <c r="A24" t="s">
        <v>27</v>
      </c>
      <c r="B24" s="9">
        <f>B22/(B22+B23)</f>
        <v>0.6473450057755918</v>
      </c>
    </row>
    <row r="25" spans="1:2" x14ac:dyDescent="0.25">
      <c r="A25" t="s">
        <v>28</v>
      </c>
      <c r="B25" s="9">
        <f>1-B24</f>
        <v>0.35265499422440816</v>
      </c>
    </row>
    <row r="26" spans="1:2" x14ac:dyDescent="0.25">
      <c r="A26" t="s">
        <v>29</v>
      </c>
      <c r="B26" s="11">
        <f>B24*B20+B25*B21*(1-B8)</f>
        <v>0.07420359564167192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5749377000</v>
      </c>
      <c r="C29" s="6" t="s">
        <v>32</v>
      </c>
    </row>
    <row r="30" spans="1:2" x14ac:dyDescent="0.25">
      <c r="A30" t="s">
        <v>33</v>
      </c>
      <c r="B30" s="10">
        <v>28911004000</v>
      </c>
    </row>
    <row r="31" spans="1:2" x14ac:dyDescent="0.25">
      <c r="A31" t="s">
        <v>34</v>
      </c>
      <c r="B31" s="12">
        <v>911015000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0.005728801572761677</v>
      </c>
      <c r="C5" s="5">
        <v>0.05447480676784555</v>
      </c>
      <c r="D5" s="5">
        <v>0.05079045592186486</v>
      </c>
      <c r="E5" s="5">
        <v>0.04710610507588416</v>
      </c>
      <c r="F5" s="5">
        <v>0.04342175422990347</v>
      </c>
      <c r="G5" s="5">
        <v>0.03973740338392277</v>
      </c>
      <c r="H5" s="5">
        <v>0.03605305253794208</v>
      </c>
      <c r="I5" s="5">
        <v>0.03236870169196139</v>
      </c>
      <c r="J5" s="5">
        <v>0.028684350845980696</v>
      </c>
      <c r="K5" s="5">
        <v>0.025</v>
      </c>
    </row>
    <row r="6" spans="1:11" x14ac:dyDescent="0.25">
      <c r="A6" t="s">
        <v>50</v>
      </c>
      <c r="B6" s="18">
        <f>Assumptions!B29*(1+B5)</f>
        <v>5782314040</v>
      </c>
      <c r="C6" s="18">
        <f>B6*(1+C5)</f>
        <v>6097304480</v>
      </c>
      <c r="D6" s="18">
        <f>C6*(1+D5)</f>
        <v>6406989354.433629</v>
      </c>
      <c r="E6" s="18">
        <f>D6*(1+E5)</f>
        <v>6708797668.18365</v>
      </c>
      <c r="F6" s="18">
        <f>E6*(1+F5)</f>
        <v>7000105431.709671</v>
      </c>
      <c r="G6" s="18">
        <f>F6*(1+G5)</f>
        <v>7278271444.979507</v>
      </c>
      <c r="H6" s="18">
        <f>G6*(1+H5)</f>
        <v>7540675347.770758</v>
      </c>
      <c r="I6" s="18">
        <f>H6*(1+I5)</f>
        <v>7784757218.658676</v>
      </c>
      <c r="J6" s="18">
        <f>I6*(1+J5)</f>
        <v>8008057925.969462</v>
      </c>
      <c r="K6" s="18">
        <f>J6*(1+K5)</f>
        <v>8208259374.118698</v>
      </c>
    </row>
    <row r="7" spans="1:11" x14ac:dyDescent="0.25">
      <c r="A7" t="s">
        <v>4</v>
      </c>
      <c r="B7" s="9">
        <f>Assumptions!B7</f>
        <v>0.426258369702001</v>
      </c>
      <c r="C7" s="9">
        <f>Assumptions!B7</f>
        <v>0.426258369702001</v>
      </c>
      <c r="D7" s="9">
        <f>Assumptions!B7</f>
        <v>0.426258369702001</v>
      </c>
      <c r="E7" s="9">
        <f>Assumptions!B7</f>
        <v>0.426258369702001</v>
      </c>
      <c r="F7" s="9">
        <f>Assumptions!B7</f>
        <v>0.426258369702001</v>
      </c>
      <c r="G7" s="9">
        <f>Assumptions!B7</f>
        <v>0.426258369702001</v>
      </c>
      <c r="H7" s="9">
        <f>Assumptions!B7</f>
        <v>0.426258369702001</v>
      </c>
      <c r="I7" s="9">
        <f>Assumptions!B7</f>
        <v>0.426258369702001</v>
      </c>
      <c r="J7" s="9">
        <f>Assumptions!B7</f>
        <v>0.426258369702001</v>
      </c>
      <c r="K7" s="9">
        <f>Assumptions!B7</f>
        <v>0.426258369702001</v>
      </c>
    </row>
    <row r="8" spans="1:11" x14ac:dyDescent="0.25">
      <c r="A8" t="s">
        <v>51</v>
      </c>
      <c r="B8" s="18">
        <f>B6*B7</f>
        <v>2464759755.795391</v>
      </c>
      <c r="C8" s="18">
        <f>C6*C7</f>
        <v>2599027067.221507</v>
      </c>
      <c r="D8" s="18">
        <f>D6*D7</f>
        <v>2731032836.9189544</v>
      </c>
      <c r="E8" s="18">
        <f>E6*E7</f>
        <v>2859681156.700548</v>
      </c>
      <c r="F8" s="18">
        <f>F6*F7</f>
        <v>2983853529.062686</v>
      </c>
      <c r="G8" s="18">
        <f>G6*G7</f>
        <v>3102424120.385592</v>
      </c>
      <c r="H8" s="18">
        <f>H6*H7</f>
        <v>3214275980.1928325</v>
      </c>
      <c r="I8" s="18">
        <f>I6*I7</f>
        <v>3318317920.551331</v>
      </c>
      <c r="J8" s="18">
        <f>J6*J7</f>
        <v>3413501716.00293</v>
      </c>
      <c r="K8" s="18">
        <f>K6*K7</f>
        <v>3498839258.903003</v>
      </c>
    </row>
    <row r="9" spans="1:11" x14ac:dyDescent="0.25">
      <c r="A9" t="s">
        <v>52</v>
      </c>
      <c r="B9" s="18">
        <f>B8*(1-Assumptions!B8)</f>
        <v>2307862518.5087547</v>
      </c>
      <c r="C9" s="18">
        <f>C8*(1-Assumptions!B8)</f>
        <v>2433582883.251272</v>
      </c>
      <c r="D9" s="18">
        <f>D8*(1-Assumptions!B8)</f>
        <v>2557185667.4152503</v>
      </c>
      <c r="E9" s="18">
        <f>E8*(1-Assumptions!B8)</f>
        <v>2677644724.163058</v>
      </c>
      <c r="F9" s="18">
        <f>F8*(1-Assumptions!B8)</f>
        <v>2793912755.290664</v>
      </c>
      <c r="G9" s="18">
        <f>G8*(1-Assumptions!B8)</f>
        <v>2904935593.467137</v>
      </c>
      <c r="H9" s="18">
        <f>H8*(1-Assumptions!B8)</f>
        <v>3009667389.0377455</v>
      </c>
      <c r="I9" s="18">
        <f>I8*(1-Assumptions!B8)</f>
        <v>3107086414.945533</v>
      </c>
      <c r="J9" s="18">
        <f>J8*(1-Assumptions!B8)</f>
        <v>3196211171.78061</v>
      </c>
      <c r="K9" s="18">
        <f>K8*(1-Assumptions!B8)</f>
        <v>3276116451.075125</v>
      </c>
    </row>
    <row r="10" spans="1:11" x14ac:dyDescent="0.25">
      <c r="A10" t="s">
        <v>53</v>
      </c>
      <c r="B10" s="18">
        <f>B6*Assumptions!B9</f>
        <v>2685460638.1107087</v>
      </c>
      <c r="C10" s="18">
        <f>C6*Assumptions!B9</f>
        <v>2831750587.4544444</v>
      </c>
      <c r="D10" s="18">
        <f>D6*Assumptions!B9</f>
        <v>2975576490.848264</v>
      </c>
      <c r="E10" s="18">
        <f>E6*Assumptions!B9</f>
        <v>3115744309.687493</v>
      </c>
      <c r="F10" s="18">
        <f>F6*Assumptions!B9</f>
        <v>3251035393.345964</v>
      </c>
      <c r="G10" s="18">
        <f>G6*Assumptions!B9</f>
        <v>3380223098.186763</v>
      </c>
      <c r="H10" s="18">
        <f>H6*Assumptions!B9</f>
        <v>3502090459.135656</v>
      </c>
      <c r="I10" s="18">
        <f>I6*Assumptions!B9</f>
        <v>3615448580.5056815</v>
      </c>
      <c r="J10" s="18">
        <f>J6*Assumptions!B9</f>
        <v>3719155376.0545096</v>
      </c>
      <c r="K10" s="18">
        <f>K6*Assumptions!B9</f>
        <v>3812134260.455872</v>
      </c>
    </row>
    <row r="11" spans="1:11" x14ac:dyDescent="0.25">
      <c r="A11" t="s">
        <v>54</v>
      </c>
      <c r="B11" s="18">
        <f>-B6*B19</f>
        <v>-2685460638.1107087</v>
      </c>
      <c r="C11" s="18">
        <f>-C6*C19</f>
        <v>-2922850653.3612165</v>
      </c>
      <c r="D11" s="18">
        <f>-D6*D19</f>
        <v>-3167030650.4256415</v>
      </c>
      <c r="E11" s="18">
        <f>-E6*E19</f>
        <v>-3416453538.6909595</v>
      </c>
      <c r="F11" s="18">
        <f>-F6*F19</f>
        <v>-3669390794.9991894</v>
      </c>
      <c r="G11" s="18">
        <f>-G6*G19</f>
        <v>-3923947796.944966</v>
      </c>
      <c r="H11" s="18">
        <f>-H6*H19</f>
        <v>-4178083619.802107</v>
      </c>
      <c r="I11" s="18">
        <f>-I6*I19</f>
        <v>-4429635125.740529</v>
      </c>
      <c r="J11" s="18">
        <f>-J6*J19</f>
        <v>-4676345042.0573</v>
      </c>
      <c r="K11" s="18">
        <f>-K6*K19</f>
        <v>-4915893594.065339</v>
      </c>
    </row>
    <row r="12" spans="1:11" x14ac:dyDescent="0.25">
      <c r="A12" t="s">
        <v>55</v>
      </c>
      <c r="B12" s="18">
        <f>-(B6-Assumptions!B29)*Assumptions!B11</f>
        <v>5361553.817516493</v>
      </c>
      <c r="C12" s="18">
        <f>-(C6-B6)*Assumptions!B11</f>
        <v>51274741.02296987</v>
      </c>
      <c r="D12" s="18">
        <f>-(D6-C6)*Assumptions!B11</f>
        <v>50411091.00109601</v>
      </c>
      <c r="E12" s="18">
        <f>-(E6-D6)*Assumptions!B11</f>
        <v>49128929.51961197</v>
      </c>
      <c r="F12" s="18">
        <f>-(F6-E6)*Assumptions!B11</f>
        <v>47419630.0458429</v>
      </c>
      <c r="G12" s="18">
        <f>-(G6-F6)*Assumptions!B11</f>
        <v>45280391.02330491</v>
      </c>
      <c r="H12" s="18">
        <f>-(H6-G6)*Assumptions!B11</f>
        <v>42714604.79574528</v>
      </c>
      <c r="I12" s="18">
        <f>-(I6-H6)*Assumptions!B11</f>
        <v>39732109.70523419</v>
      </c>
      <c r="J12" s="18">
        <f>-(J6-I6)*Assumptions!B11</f>
        <v>36349312.498520784</v>
      </c>
      <c r="K12" s="18">
        <f>-(K6-J6)*Assumptions!B11</f>
        <v>32589171.297629204</v>
      </c>
    </row>
    <row r="13" spans="1:11" x14ac:dyDescent="0.25">
      <c r="A13" s="19" t="s">
        <v>56</v>
      </c>
      <c r="B13" s="20">
        <f>B9+B10+B11+B12</f>
        <v>2313224072.3262706</v>
      </c>
      <c r="C13" s="20">
        <f>C9+C10+C11+C12</f>
        <v>2393757558.3674703</v>
      </c>
      <c r="D13" s="20">
        <f>D9+D10+D11+D12</f>
        <v>2416142598.838969</v>
      </c>
      <c r="E13" s="20">
        <f>E9+E10+E11+E12</f>
        <v>2426064424.679203</v>
      </c>
      <c r="F13" s="20">
        <f>F9+F10+F11+F12</f>
        <v>2422976983.683282</v>
      </c>
      <c r="G13" s="20">
        <f>G9+G10+G11+G12</f>
        <v>2406491285.7322392</v>
      </c>
      <c r="H13" s="20">
        <f>H9+H10+H11+H12</f>
        <v>2376388833.1670394</v>
      </c>
      <c r="I13" s="20">
        <f>I9+I10+I11+I12</f>
        <v>2332631979.415919</v>
      </c>
      <c r="J13" s="20">
        <f>J9+J10+J11+J12</f>
        <v>2275370818.2763405</v>
      </c>
      <c r="K13" s="20">
        <f>K9+K10+K11+K12</f>
        <v>2204946288.7632875</v>
      </c>
    </row>
    <row r="14" spans="1:11" x14ac:dyDescent="0.25">
      <c r="A14" t="s">
        <v>57</v>
      </c>
      <c r="B14" s="21">
        <f>1/(1+Assumptions!$B$26)^(1-0.5*Assumptions!$B$32)</f>
        <v>0.9648431083528786</v>
      </c>
      <c r="C14" s="21">
        <f>1/(1+Assumptions!$B$26)^(2-0.5*Assumptions!$B$32)</f>
        <v>0.898193891984259</v>
      </c>
      <c r="D14" s="21">
        <f>1/(1+Assumptions!$B$26)^(3-0.5*Assumptions!$B$32)</f>
        <v>0.8361486552721188</v>
      </c>
      <c r="E14" s="21">
        <f>1/(1+Assumptions!$B$26)^(4-0.5*Assumptions!$B$32)</f>
        <v>0.7783893655398241</v>
      </c>
      <c r="F14" s="21">
        <f>1/(1+Assumptions!$B$26)^(5-0.5*Assumptions!$B$32)</f>
        <v>0.7246199591008219</v>
      </c>
      <c r="G14" s="21">
        <f>1/(1+Assumptions!$B$26)^(6-0.5*Assumptions!$B$32)</f>
        <v>0.6745648236896586</v>
      </c>
      <c r="H14" s="21">
        <f>1/(1+Assumptions!$B$26)^(7-0.5*Assumptions!$B$32)</f>
        <v>0.6279673857232897</v>
      </c>
      <c r="I14" s="21">
        <f>1/(1+Assumptions!$B$26)^(8-0.5*Assumptions!$B$32)</f>
        <v>0.5845887951512353</v>
      </c>
      <c r="J14" s="21">
        <f>1/(1+Assumptions!$B$26)^(9-0.5*Assumptions!$B$32)</f>
        <v>0.5442067011533629</v>
      </c>
      <c r="K14" s="21">
        <f>1/(1+Assumptions!$B$26)^(10-0.5*Assumptions!$B$32)</f>
        <v>0.5066141124097455</v>
      </c>
    </row>
    <row r="15" spans="1:11" x14ac:dyDescent="0.25">
      <c r="A15" s="19" t="s">
        <v>58</v>
      </c>
      <c r="B15" s="20">
        <f>B13*B14</f>
        <v>2231898304.259983</v>
      </c>
      <c r="C15" s="20">
        <f>C13*C14</f>
        <v>2150058417.8168154</v>
      </c>
      <c r="D15" s="20">
        <f>D13*D14</f>
        <v>2020254384.9648864</v>
      </c>
      <c r="E15" s="20">
        <f>E13*E14</f>
        <v>1888422748.2847831</v>
      </c>
      <c r="F15" s="20">
        <f>F13*F14</f>
        <v>1755737482.8188126</v>
      </c>
      <c r="G15" s="20">
        <f>G13*G14</f>
        <v>1623334369.870668</v>
      </c>
      <c r="H15" s="20">
        <f>H13*H14</f>
        <v>1492294683.0259244</v>
      </c>
      <c r="I15" s="20">
        <f>I13*I14</f>
        <v>1363630518.377993</v>
      </c>
      <c r="J15" s="20">
        <f>J13*J14</f>
        <v>1238272046.9147952</v>
      </c>
      <c r="K15" s="20">
        <f>K13*K14</f>
        <v>1117056906.9929755</v>
      </c>
    </row>
    <row r="17" spans="1:2" x14ac:dyDescent="0.25">
      <c r="A17" s="22" t="s">
        <v>59</v>
      </c>
      <c r="B17" s="23">
        <f>SUM(B15:K15)</f>
        <v>16880959863.327637</v>
      </c>
    </row>
    <row r="19" spans="1:11" x14ac:dyDescent="0.25">
      <c r="A19" t="s">
        <v>7</v>
      </c>
      <c r="B19" s="9">
        <f>Assumptions!$B$10+($B$20-Assumptions!$B$10)*0/9</f>
        <v>0.4644266325788678</v>
      </c>
      <c r="C19" s="9">
        <f>Assumptions!$B$10+($B$20-Assumptions!$B$10)*1/9</f>
        <v>0.47936767188658036</v>
      </c>
      <c r="D19" s="9">
        <f>Assumptions!$B$10+($B$20-Assumptions!$B$10)*2/9</f>
        <v>0.49430871119429287</v>
      </c>
      <c r="E19" s="9">
        <f>Assumptions!$B$10+($B$20-Assumptions!$B$10)*3/9</f>
        <v>0.5092497505020054</v>
      </c>
      <c r="F19" s="9">
        <f>Assumptions!$B$10+($B$20-Assumptions!$B$10)*4/9</f>
        <v>0.524190789809718</v>
      </c>
      <c r="G19" s="9">
        <f>Assumptions!$B$10+($B$20-Assumptions!$B$10)*5/9</f>
        <v>0.5391318291174305</v>
      </c>
      <c r="H19" s="9">
        <f>Assumptions!$B$10+($B$20-Assumptions!$B$10)*6/9</f>
        <v>0.554072868425143</v>
      </c>
      <c r="I19" s="9">
        <f>Assumptions!$B$10+($B$20-Assumptions!$B$10)*7/9</f>
        <v>0.5690139077328555</v>
      </c>
      <c r="J19" s="9">
        <f>Assumptions!$B$10+($B$20-Assumptions!$B$10)*8/9</f>
        <v>0.5839549470405682</v>
      </c>
      <c r="K19" s="9">
        <f>Assumptions!$B$10+($B$20-Assumptions!$B$10)*9/9</f>
        <v>0.5988959863482807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0.5988959863482807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2204946288.7632875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3276116451.075125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0.3369108974277289</v>
      </c>
    </row>
    <row r="7" spans="1:2" x14ac:dyDescent="0.25">
      <c r="A7" t="s">
        <v>66</v>
      </c>
      <c r="B7" s="18">
        <f>-MAX(B5,0)*B6</f>
        <v>-1103759333.6094668</v>
      </c>
    </row>
    <row r="8" spans="1:2" x14ac:dyDescent="0.25">
      <c r="A8" t="s">
        <v>67</v>
      </c>
      <c r="B8" s="18">
        <f>IF(OR(Assumptions!$B$33=0,Assumptions!B12&lt;=0),B5,MAX(B5+B7,0))</f>
        <v>2172357117.465658</v>
      </c>
    </row>
    <row r="9" spans="1:2" x14ac:dyDescent="0.25">
      <c r="A9" t="s">
        <v>68</v>
      </c>
      <c r="B9" s="18">
        <f>B8*(1+Assumptions!B12)/(Assumptions!B26-Assumptions!B12)</f>
        <v>45254132677.98813</v>
      </c>
    </row>
    <row r="10" spans="1:2" x14ac:dyDescent="0.25">
      <c r="A10" t="s">
        <v>69</v>
      </c>
      <c r="B10" s="18">
        <f>B9/(1+Assumptions!B26)^(10-0.5*Assumptions!B32)</f>
        <v>22926382259.531815</v>
      </c>
    </row>
    <row r="11" spans="1:2" x14ac:dyDescent="0.25">
      <c r="A11" t="s">
        <v>70</v>
      </c>
      <c r="B11" s="18">
        <f>Forecast!B17+B10</f>
        <v>39807342122.85945</v>
      </c>
    </row>
    <row r="12" spans="1:2" x14ac:dyDescent="0.25">
      <c r="A12" t="s">
        <v>71</v>
      </c>
      <c r="B12" s="18">
        <f>-Assumptions!B30</f>
        <v>-28911004000</v>
      </c>
    </row>
    <row r="13" spans="1:2" x14ac:dyDescent="0.25">
      <c r="A13" t="s">
        <v>72</v>
      </c>
      <c r="B13" s="18">
        <f>B11+B12</f>
        <v>10896338122.859451</v>
      </c>
    </row>
    <row r="14" spans="1:2" x14ac:dyDescent="0.25">
      <c r="A14" s="19" t="s">
        <v>73</v>
      </c>
      <c r="B14" s="24">
        <f>B13/Assumptions!B31</f>
        <v>11.960657204172765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7310973519.358875</v>
      </c>
    </row>
    <row r="18" spans="1:2" x14ac:dyDescent="0.25">
      <c r="A18" t="s">
        <v>68</v>
      </c>
      <c r="B18" s="18">
        <f>B17*Assumptions!B13</f>
        <v>118248102448.58394</v>
      </c>
    </row>
    <row r="19" spans="1:2" x14ac:dyDescent="0.25">
      <c r="A19" t="s">
        <v>69</v>
      </c>
      <c r="B19" s="18">
        <f>B18/(1+Assumptions!B26)^(10-0.5*Assumptions!B32)</f>
        <v>59906157466.12601</v>
      </c>
    </row>
    <row r="20" spans="1:2" x14ac:dyDescent="0.25">
      <c r="A20" t="s">
        <v>70</v>
      </c>
      <c r="B20" s="18">
        <f>Forecast!B17+B19</f>
        <v>76787117329.45364</v>
      </c>
    </row>
    <row r="21" spans="1:2" x14ac:dyDescent="0.25">
      <c r="A21" t="s">
        <v>71</v>
      </c>
      <c r="B21" s="18">
        <f>-Assumptions!B30</f>
        <v>-28911004000</v>
      </c>
    </row>
    <row r="22" spans="1:2" x14ac:dyDescent="0.25">
      <c r="A22" t="s">
        <v>72</v>
      </c>
      <c r="B22" s="18">
        <f>B20+B21</f>
        <v>47876113329.45364</v>
      </c>
    </row>
    <row r="23" spans="1:2" x14ac:dyDescent="0.25">
      <c r="A23" s="19" t="s">
        <v>73</v>
      </c>
      <c r="B23" s="25">
        <f>B22/Assumptions!B31</f>
        <v>52.552497301859624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56.93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11.960657204172765</v>
      </c>
    </row>
    <row r="29" spans="1:2" x14ac:dyDescent="0.25">
      <c r="A29" s="19" t="s">
        <v>81</v>
      </c>
      <c r="B29" s="11">
        <f>B28/B26-1</f>
        <v>-0.789905898398511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0.054204</v>
      </c>
      <c r="B5" s="31">
        <v>29.890452833601984</v>
      </c>
      <c r="C5" s="31">
        <v>29.02569991323095</v>
      </c>
      <c r="D5" s="31">
        <v>28.160946992859895</v>
      </c>
      <c r="E5" s="31">
        <v>27.296194072488877</v>
      </c>
      <c r="F5" s="31">
        <v>26.43144115211782</v>
      </c>
    </row>
    <row r="6" spans="1:6" x14ac:dyDescent="0.25">
      <c r="A6" s="30">
        <v>0.064204</v>
      </c>
      <c r="B6" s="31">
        <v>20.17325701536258</v>
      </c>
      <c r="C6" s="31">
        <v>19.48395747758394</v>
      </c>
      <c r="D6" s="31">
        <v>18.794657939805273</v>
      </c>
      <c r="E6" s="31">
        <v>18.105358402026624</v>
      </c>
      <c r="F6" s="31">
        <v>17.416058864247965</v>
      </c>
    </row>
    <row r="7" spans="1:6" x14ac:dyDescent="0.25">
      <c r="A7" s="30">
        <v>0.074204</v>
      </c>
      <c r="B7" s="31">
        <v>13.087626888777486</v>
      </c>
      <c r="C7" s="31">
        <v>12.524022566281205</v>
      </c>
      <c r="D7" s="32">
        <v>11.96041824378491</v>
      </c>
      <c r="E7" s="31">
        <v>11.396813921288622</v>
      </c>
      <c r="F7" s="31">
        <v>10.833209598792326</v>
      </c>
    </row>
    <row r="8" spans="1:6" x14ac:dyDescent="0.25">
      <c r="A8" s="30">
        <v>0.084204</v>
      </c>
      <c r="B8" s="31">
        <v>7.695264869790395</v>
      </c>
      <c r="C8" s="31">
        <v>7.22550252095667</v>
      </c>
      <c r="D8" s="31">
        <v>6.755740172122954</v>
      </c>
      <c r="E8" s="31">
        <v>6.28597782328923</v>
      </c>
      <c r="F8" s="31">
        <v>5.81621547445551</v>
      </c>
    </row>
    <row r="9" spans="1:6" x14ac:dyDescent="0.25">
      <c r="A9" s="30">
        <v>0.094204</v>
      </c>
      <c r="B9" s="31">
        <v>3.4563327190871687</v>
      </c>
      <c r="C9" s="31">
        <v>3.058846899130339</v>
      </c>
      <c r="D9" s="31">
        <v>2.661361079173497</v>
      </c>
      <c r="E9" s="31">
        <v>2.2638752592166633</v>
      </c>
      <c r="F9" s="31">
        <v>1.866389439259834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5749377000</v>
      </c>
      <c r="C5" s="18">
        <v>5271142000</v>
      </c>
      <c r="D5" s="18">
        <v>4078993000</v>
      </c>
      <c r="E5" s="18">
        <v>3343681000</v>
      </c>
      <c r="F5" s="6" t="s">
        <v>91</v>
      </c>
    </row>
    <row r="6" spans="1:6" x14ac:dyDescent="0.25">
      <c r="A6" t="s">
        <v>51</v>
      </c>
      <c r="B6" s="18">
        <v>2593823000</v>
      </c>
      <c r="C6" s="18">
        <v>2320928000</v>
      </c>
      <c r="D6" s="18">
        <v>1722316000</v>
      </c>
      <c r="E6" s="18">
        <v>1308503000</v>
      </c>
      <c r="F6" s="6" t="s">
        <v>92</v>
      </c>
    </row>
    <row r="7" spans="1:6" x14ac:dyDescent="0.25">
      <c r="A7" t="s">
        <v>93</v>
      </c>
      <c r="B7" s="18">
        <v>2524200000</v>
      </c>
      <c r="C7" s="18">
        <v>2395644000</v>
      </c>
      <c r="D7" s="18">
        <v>1895177000</v>
      </c>
      <c r="E7" s="18">
        <v>1670389000</v>
      </c>
      <c r="F7" s="6" t="s">
        <v>94</v>
      </c>
    </row>
    <row r="8" spans="1:6" x14ac:dyDescent="0.25">
      <c r="A8" t="s">
        <v>95</v>
      </c>
      <c r="B8" s="18">
        <v>0</v>
      </c>
      <c r="C8" s="18">
        <v>0</v>
      </c>
      <c r="D8" s="18">
        <v>0</v>
      </c>
      <c r="E8" s="18">
        <v>0</v>
      </c>
      <c r="F8" s="6" t="s">
        <v>96</v>
      </c>
    </row>
    <row r="9" spans="1:6" x14ac:dyDescent="0.25">
      <c r="A9" t="s">
        <v>97</v>
      </c>
      <c r="B9" s="18">
        <v>-77848000</v>
      </c>
      <c r="C9" s="18">
        <v>-30689000</v>
      </c>
      <c r="D9" s="18">
        <v>-174007000</v>
      </c>
      <c r="E9" s="18">
        <v>34814000</v>
      </c>
      <c r="F9" s="6" t="s">
        <v>98</v>
      </c>
    </row>
    <row r="10" spans="1:6" x14ac:dyDescent="0.25">
      <c r="A10" t="s">
        <v>99</v>
      </c>
      <c r="B10" s="18">
        <v>29345846000</v>
      </c>
      <c r="C10" s="18">
        <v>26757140000</v>
      </c>
      <c r="D10" s="18">
        <v>21989695000</v>
      </c>
      <c r="E10" s="18">
        <v>18600298000</v>
      </c>
      <c r="F10" s="6" t="s">
        <v>100</v>
      </c>
    </row>
    <row r="11" spans="1:6" x14ac:dyDescent="0.25">
      <c r="A11" t="s">
        <v>101</v>
      </c>
      <c r="B11" s="18">
        <v>434842000</v>
      </c>
      <c r="C11" s="18">
        <v>444962000</v>
      </c>
      <c r="D11" s="18">
        <v>232923000</v>
      </c>
      <c r="E11" s="18">
        <v>171102000</v>
      </c>
      <c r="F11" s="6" t="s">
        <v>102</v>
      </c>
    </row>
    <row r="12" spans="1:6" x14ac:dyDescent="0.25">
      <c r="A12" t="s">
        <v>34</v>
      </c>
      <c r="B12" s="34">
        <v>911015000</v>
      </c>
      <c r="C12" s="34">
        <v>865842000</v>
      </c>
      <c r="D12" s="34">
        <v>694819000</v>
      </c>
      <c r="E12" s="34">
        <v>613472663</v>
      </c>
      <c r="F12" s="6" t="s">
        <v>103</v>
      </c>
    </row>
    <row r="15" spans="1:1" x14ac:dyDescent="0.25">
      <c r="A15" s="19" t="s">
        <v>104</v>
      </c>
    </row>
    <row r="16" ht="86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