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<sst xmlns="http://schemas.openxmlformats.org/spreadsheetml/2006/main" count="112" uniqueCount="100">
  <si>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Realty Income Corporation (O)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</si>
  <si>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</si>
  <si>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</si>
  <si>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</si>
  <si>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</si>
  <si>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</si>
  <si>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</si>
  <si>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</si>
  <si>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</si>
  <si>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</si>
  <si>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</si>
  <si>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</si>
  <si>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</si>
  <si>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</si>
  <si>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</si>
  <si>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</si>
  <si>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</si>
  <si>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</si>
  <si>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</si>
  <si>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</si>
  <si>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</si>
  <si>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</si>
  <si>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</si>
  <si>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</si>
  <si>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</si>
  <si>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</si>
  <si>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</si>
  <si>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</si>
  <si>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</si>
  <si>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</si>
  <si>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</si>
  <si>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</si>
  <si>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</si>
  <si>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</si>
  <si>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</si>
  <si>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</si>
  <si>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</si>
  <si>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</si>
  <si>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</si>
  <si>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</si>
  <si>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</si>
  <si>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</si>
  <si>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</si>
  <si>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</si>
  <si>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</si>
  <si>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</si>
  <si>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</si>
  <si>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</si>
  <si>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</si>
  <si>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</si>
  <si>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</si>
  <si>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</si>
  <si>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</si>
  <si>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</si>
  <si>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</si>
  <si>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</si>
  <si>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</si>
  <si>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</si>
  <si>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</si>
  <si>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</si>
  <si>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</si>
  <si>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</si>
  <si>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</si>
  <si>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</si>
  <si>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</si>
  <si>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</si>
  <si>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</si>
  <si>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</si>
  <si>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</si>
  <si>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</si>
  <si>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</si>
  <si>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</si>
  <si>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</si>
  <si>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</si>
  <si>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</si>
  <si>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</si>
  <si>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</si>
  <si>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</si>
  <si>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</si>
  <si>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</si>
  <si>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</si>
  <si>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</si>
  <si>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</si>
  <si>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</si>
  <si>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</si>
  <si>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</si>
  <si>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</si>
  <si>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</si>
  <si>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</si>
  <si>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</si>
  <si>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</si>
  <si>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</si>
  <si>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</si>
  <si>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</si>
  <si>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</si>
  <si>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</si>
  <si>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</si>
  <si>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</si>
  <si>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0.00% of revenue, which is too low to be the company's real investment - property trusts and similar structures invest through lines that are not reported as capex. Capex has been set to 46.44%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</si>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</sst>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0.1980234435312218</v>
      </c>
    </row>
    <row r="7" spans="1:2" x14ac:dyDescent="0.25">
      <c r="A7" t="s">
        <v>5</v>
      </c>
      <c r="B7" s="6">
        <v>0.426258369702001</v>
      </c>
    </row>
    <row r="8" spans="1:2" x14ac:dyDescent="0.25">
      <c r="A8" t="s">
        <v>6</v>
      </c>
      <c r="B8" s="6">
        <v>0.06365619891258119</v>
      </c>
    </row>
    <row r="9" spans="1:2" x14ac:dyDescent="0.25">
      <c r="A9" t="s">
        <v>7</v>
      </c>
      <c r="B9" s="6">
        <v>0.4644266325788678</v>
      </c>
    </row>
    <row r="10" spans="1:2" x14ac:dyDescent="0.25">
      <c r="A10" t="s">
        <v>8</v>
      </c>
      <c r="B10" s="6">
        <v>0.4644266325788678</v>
      </c>
    </row>
    <row r="11" spans="1:2" x14ac:dyDescent="0.25">
      <c r="A11" t="s">
        <v>9</v>
      </c>
      <c r="B11" s="6">
        <v>-0.16278189592982528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16.124140128326896</v>
      </c>
    </row>
    <row r="14" spans="1:3" x14ac:dyDescent="0.25">
      <c r="A14" t="s">
        <v>12</v>
      </c>
      <c r="B14" s="6">
        <v>0.0775401867178239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0.80704</v>
      </c>
      <c r="C19" s="8" t="s">
        <v>19</v>
      </c>
    </row>
    <row r="20" spans="1:2" x14ac:dyDescent="0.25">
      <c r="A20" t="s">
        <v>20</v>
      </c>
      <c r="B20" s="10">
        <f>B17+B19*B18</f>
        <v>0.09436720000000001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53612716032</v>
      </c>
    </row>
    <row r="23" spans="1:2" x14ac:dyDescent="0.25">
      <c r="A23" t="s">
        <v>24</v>
      </c>
      <c r="B23" s="11">
        <v>29345846000</v>
      </c>
    </row>
    <row r="24" spans="1:2" x14ac:dyDescent="0.25">
      <c r="A24" t="s">
        <v>25</v>
      </c>
      <c r="B24" s="10">
        <f>B22/(B22+B23)</f>
        <v>0.6462589842302198</v>
      </c>
    </row>
    <row r="25" spans="1:2" x14ac:dyDescent="0.25">
      <c r="A25" t="s">
        <v>26</v>
      </c>
      <c r="B25" s="10">
        <f>1-B24</f>
        <v>0.35374101576978023</v>
      </c>
    </row>
    <row r="26" spans="1:2" x14ac:dyDescent="0.25">
      <c r="A26" t="s">
        <v>27</v>
      </c>
      <c r="B26" s="12">
        <f>B24*B20+B25*B21*(1-B8)</f>
        <v>0.0775401867178239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5749377000</v>
      </c>
      <c r="C29" s="8" t="s">
        <v>30</v>
      </c>
    </row>
    <row r="30" spans="1:2" x14ac:dyDescent="0.25">
      <c r="A30" t="s">
        <v>31</v>
      </c>
      <c r="B30" s="11">
        <v>28911004000</v>
      </c>
    </row>
    <row r="31" spans="1:2" x14ac:dyDescent="0.25">
      <c r="A31" t="s">
        <v>32</v>
      </c>
      <c r="B31" s="13">
        <v>911015000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0.1980234435312218</v>
      </c>
      <c r="C5" s="10">
        <f>Assumptions!B6</f>
        <v>0.1980234435312218</v>
      </c>
      <c r="D5" s="10">
        <f>Assumptions!B6</f>
        <v>0.1980234435312218</v>
      </c>
      <c r="E5" s="10">
        <f>Assumptions!B6</f>
        <v>0.1980234435312218</v>
      </c>
      <c r="F5" s="10">
        <f>Assumptions!B6</f>
        <v>0.1980234435312218</v>
      </c>
    </row>
    <row r="6" spans="1:6" x14ac:dyDescent="0.25">
      <c r="A6" t="s">
        <v>43</v>
      </c>
      <c r="B6" s="18">
        <f>Assumptions!B29*(1+B5)</f>
        <v>6887888431.699205</v>
      </c>
      <c r="C6" s="18">
        <f>B6*(1+C5)</f>
        <v>8251851817.603149</v>
      </c>
      <c r="D6" s="18">
        <f>C6*(1+D5)</f>
        <v>9885911930.034296</v>
      </c>
      <c r="E6" s="18">
        <f>D6*(1+E5)</f>
        <v>11843554252.866074</v>
      </c>
      <c r="F6" s="18">
        <f>E6*(1+F5)</f>
        <v>14188855649.667461</v>
      </c>
    </row>
    <row r="7" spans="1:6" x14ac:dyDescent="0.25">
      <c r="A7" t="s">
        <v>5</v>
      </c>
      <c r="B7" s="10">
        <f>Assumptions!B7</f>
        <v>0.426258369702001</v>
      </c>
      <c r="C7" s="10">
        <f>Assumptions!B7</f>
        <v>0.426258369702001</v>
      </c>
      <c r="D7" s="10">
        <f>Assumptions!B7</f>
        <v>0.426258369702001</v>
      </c>
      <c r="E7" s="10">
        <f>Assumptions!B7</f>
        <v>0.426258369702001</v>
      </c>
      <c r="F7" s="10">
        <f>Assumptions!B7</f>
        <v>0.426258369702001</v>
      </c>
    </row>
    <row r="8" spans="1:6" x14ac:dyDescent="0.25">
      <c r="A8" t="s">
        <v>44</v>
      </c>
      <c r="B8" s="18">
        <f>B6*B7</f>
        <v>2936020093.585376</v>
      </c>
      <c r="C8" s="18">
        <f>C6*C7</f>
        <v>3517420902.794012</v>
      </c>
      <c r="D8" s="18">
        <f>D6*D7</f>
        <v>4213952702.313981</v>
      </c>
      <c r="E8" s="18">
        <f>E6*E7</f>
        <v>5048414127.303893</v>
      </c>
      <c r="F8" s="18">
        <f>F6*F7</f>
        <v>6048118477.164278</v>
      </c>
    </row>
    <row r="9" spans="1:6" x14ac:dyDescent="0.25">
      <c r="A9" t="s">
        <v>45</v>
      </c>
      <c r="B9" s="18">
        <f>B8*(1-Assumptions!B8)</f>
        <v>2749124214.49677</v>
      </c>
      <c r="C9" s="18">
        <f>C8*(1-Assumptions!B8)</f>
        <v>3293515258.1464853</v>
      </c>
      <c r="D9" s="18">
        <f>D8*(1-Assumptions!B8)</f>
        <v>3945708490.8872733</v>
      </c>
      <c r="E9" s="18">
        <f>E8*(1-Assumptions!B8)</f>
        <v>4727051273.423151</v>
      </c>
      <c r="F9" s="18">
        <f>F8*(1-Assumptions!B8)</f>
        <v>5663118244.335051</v>
      </c>
    </row>
    <row r="10" spans="1:6" x14ac:dyDescent="0.25">
      <c r="A10" t="s">
        <v>46</v>
      </c>
      <c r="B10" s="18">
        <f>B6*Assumptions!B9</f>
        <v>3198918829.9130006</v>
      </c>
      <c r="C10" s="18">
        <f>C6*Assumptions!B9</f>
        <v>3832379752.1892405</v>
      </c>
      <c r="D10" s="18">
        <f>D6*Assumptions!B9</f>
        <v>4591280787.637084</v>
      </c>
      <c r="E10" s="18">
        <f>E6*Assumptions!B9</f>
        <v>5500462019.423719</v>
      </c>
      <c r="F10" s="18">
        <f>F6*Assumptions!B9</f>
        <v>6589682449.522702</v>
      </c>
    </row>
    <row r="11" spans="1:6" x14ac:dyDescent="0.25">
      <c r="A11" t="s">
        <v>47</v>
      </c>
      <c r="B11" s="18">
        <f>-B6*Assumptions!B10</f>
        <v>-3198918829.9130006</v>
      </c>
      <c r="C11" s="18">
        <f>-C6*Assumptions!B10</f>
        <v>-3832379752.1892405</v>
      </c>
      <c r="D11" s="18">
        <f>-D6*Assumptions!B10</f>
        <v>-4591280787.637084</v>
      </c>
      <c r="E11" s="18">
        <f>-E6*Assumptions!B10</f>
        <v>-5500462019.423719</v>
      </c>
      <c r="F11" s="18">
        <f>-F6*Assumptions!B10</f>
        <v>-6589682449.522702</v>
      </c>
    </row>
    <row r="12" spans="1:6" x14ac:dyDescent="0.25">
      <c r="A12" t="s">
        <v>48</v>
      </c>
      <c r="B12" s="18">
        <f>-(B6-Assumptions!B29)*Assumptions!B11</f>
        <v>185329049.38977644</v>
      </c>
      <c r="C12" s="18">
        <f>-(C6-B6)*Assumptions!B11</f>
        <v>222028545.93630794</v>
      </c>
      <c r="D12" s="18">
        <f>-(D6-C6)*Assumptions!B11</f>
        <v>265995403.1648455</v>
      </c>
      <c r="E12" s="18">
        <f>-(E6-D6)*Assumptions!B11</f>
        <v>318668728.8630238</v>
      </c>
      <c r="F12" s="18">
        <f>-(F6-E6)*Assumptions!B11</f>
        <v>381772607.89819735</v>
      </c>
    </row>
    <row r="13" spans="1:6" x14ac:dyDescent="0.25">
      <c r="A13" s="19" t="s">
        <v>49</v>
      </c>
      <c r="B13" s="20">
        <f>B9+B10+B11+B12</f>
        <v>2934453263.8865466</v>
      </c>
      <c r="C13" s="20">
        <f>C9+C10+C11+C12</f>
        <v>3515543804.082793</v>
      </c>
      <c r="D13" s="20">
        <f>D9+D10+D11+D12</f>
        <v>4211703894.0521183</v>
      </c>
      <c r="E13" s="20">
        <f>E9+E10+E11+E12</f>
        <v>5045720002.286175</v>
      </c>
      <c r="F13" s="20">
        <f>F9+F10+F11+F12</f>
        <v>6044890852.233249</v>
      </c>
    </row>
    <row r="14" spans="1:6" x14ac:dyDescent="0.25">
      <c r="A14" t="s">
        <v>50</v>
      </c>
      <c r="B14" s="21">
        <f>1/(1+Assumptions!$B$26)^(1-0.5*Assumptions!$B$32)</f>
        <v>0.9633481372454178</v>
      </c>
      <c r="C14" s="21">
        <f>1/(1+Assumptions!$B$26)^(2-0.5*Assumptions!$B$32)</f>
        <v>0.8940252522551071</v>
      </c>
      <c r="D14" s="21">
        <f>1/(1+Assumptions!$B$26)^(3-0.5*Assumptions!$B$32)</f>
        <v>0.8296908674731647</v>
      </c>
      <c r="E14" s="21">
        <f>1/(1+Assumptions!$B$26)^(4-0.5*Assumptions!$B$32)</f>
        <v>0.7699860085964816</v>
      </c>
      <c r="F14" s="21">
        <f>1/(1+Assumptions!$B$26)^(5-0.5*Assumptions!$B$32)</f>
        <v>0.7145775332443526</v>
      </c>
    </row>
    <row r="15" spans="1:6" x14ac:dyDescent="0.25">
      <c r="A15" s="19" t="s">
        <v>51</v>
      </c>
      <c r="B15" s="20">
        <f>B13*B14</f>
        <v>2826900085.598841</v>
      </c>
      <c r="C15" s="20">
        <f>C13*C14</f>
        <v>3142984936.258998</v>
      </c>
      <c r="D15" s="20">
        <f>D13*D14</f>
        <v>3494412257.396208</v>
      </c>
      <c r="E15" s="20">
        <f>E13*E14</f>
        <v>3885133805.055762</v>
      </c>
      <c r="F15" s="20">
        <f>F13*F14</f>
        <v>4319543193.920187</v>
      </c>
    </row>
    <row r="17" spans="1:2" x14ac:dyDescent="0.25">
      <c r="A17" s="22" t="s">
        <v>52</v>
      </c>
      <c r="B17" s="23">
        <f>SUM(B15:F15)</f>
        <v>17668974278.229996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6044890852.233249</v>
      </c>
    </row>
    <row r="5" spans="1:2" x14ac:dyDescent="0.25">
      <c r="A5" t="s">
        <v>56</v>
      </c>
      <c r="B5" s="18">
        <f>IF(Assumptions!$B$33=0,B4,B4-Forecast!F11-Forecast!F10-Forecast!F12)</f>
        <v>5663118244.335051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0.3224134614348735</v>
      </c>
    </row>
    <row r="7" spans="1:2" x14ac:dyDescent="0.25">
      <c r="A7" t="s">
        <v>58</v>
      </c>
      <c r="B7" s="18">
        <f>-MAX(Forecast!F9,0)*B6</f>
        <v>-1825865555.6710472</v>
      </c>
    </row>
    <row r="8" spans="1:2" x14ac:dyDescent="0.25">
      <c r="A8" t="s">
        <v>59</v>
      </c>
      <c r="B8" s="18">
        <f>IF(OR(Assumptions!$B$33=0,Assumptions!B12&lt;=0),B5,MAX(B5+B7,0))</f>
        <v>3837252688.6640034</v>
      </c>
    </row>
    <row r="9" spans="1:2" x14ac:dyDescent="0.25">
      <c r="A9" t="s">
        <v>60</v>
      </c>
      <c r="B9" s="18">
        <f>B8*(1+Assumptions!B12)/(Assumptions!B26-Assumptions!B12)</f>
        <v>74860487782.51292</v>
      </c>
    </row>
    <row r="10" spans="1:2" x14ac:dyDescent="0.25">
      <c r="A10" t="s">
        <v>61</v>
      </c>
      <c r="B10" s="18">
        <f>B9/(1+Assumptions!B26)^(5-0.5*Assumptions!B32)</f>
        <v>53493622697.09708</v>
      </c>
    </row>
    <row r="11" spans="1:2" x14ac:dyDescent="0.25">
      <c r="A11" t="s">
        <v>62</v>
      </c>
      <c r="B11" s="18">
        <f>Forecast!B17+B10</f>
        <v>71162596975.32707</v>
      </c>
    </row>
    <row r="12" spans="1:2" x14ac:dyDescent="0.25">
      <c r="A12" t="s">
        <v>63</v>
      </c>
      <c r="B12" s="18">
        <f>-Assumptions!B30</f>
        <v>-28911004000</v>
      </c>
    </row>
    <row r="13" spans="1:2" x14ac:dyDescent="0.25">
      <c r="A13" t="s">
        <v>64</v>
      </c>
      <c r="B13" s="18">
        <f>B11+B12</f>
        <v>42251592975.32707</v>
      </c>
    </row>
    <row r="14" spans="1:2" x14ac:dyDescent="0.25">
      <c r="A14" s="19" t="s">
        <v>65</v>
      </c>
      <c r="B14" s="24">
        <f>B13/Assumptions!B31</f>
        <v>46.378591982927915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12637800926.686981</v>
      </c>
    </row>
    <row r="18" spans="1:2" x14ac:dyDescent="0.25">
      <c r="A18" t="s">
        <v>60</v>
      </c>
      <c r="B18" s="18">
        <f>B17*Assumptions!B13</f>
        <v>203773673055.80038</v>
      </c>
    </row>
    <row r="19" spans="1:2" x14ac:dyDescent="0.25">
      <c r="A19" t="s">
        <v>61</v>
      </c>
      <c r="B19" s="18">
        <f>B18/(1+Assumptions!B26)^(5-0.5*Assumptions!B32)</f>
        <v>145612088632.35504</v>
      </c>
    </row>
    <row r="20" spans="1:2" x14ac:dyDescent="0.25">
      <c r="A20" t="s">
        <v>62</v>
      </c>
      <c r="B20" s="18">
        <f>Forecast!B17+B19</f>
        <v>163281062910.58502</v>
      </c>
    </row>
    <row r="21" spans="1:2" x14ac:dyDescent="0.25">
      <c r="A21" t="s">
        <v>63</v>
      </c>
      <c r="B21" s="18">
        <f>-Assumptions!B30</f>
        <v>-28911004000</v>
      </c>
    </row>
    <row r="22" spans="1:2" x14ac:dyDescent="0.25">
      <c r="A22" t="s">
        <v>64</v>
      </c>
      <c r="B22" s="18">
        <f>B20+B21</f>
        <v>134370058910.58502</v>
      </c>
    </row>
    <row r="23" spans="1:2" x14ac:dyDescent="0.25">
      <c r="A23" s="19" t="s">
        <v>65</v>
      </c>
      <c r="B23" s="25">
        <f>B22/Assumptions!B31</f>
        <v>147.49489186301545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56.66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46.378591982927915</v>
      </c>
    </row>
    <row r="29" spans="1:2" x14ac:dyDescent="0.25">
      <c r="A29" s="19" t="s">
        <v>73</v>
      </c>
      <c r="B29" s="12">
        <f>B28/B26-1</f>
        <v>-0.18145796006127923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0.05754</v>
      </c>
      <c r="B5" s="31">
        <v>73.92672903333202</v>
      </c>
      <c r="C5" s="31">
        <v>74.34667618060408</v>
      </c>
      <c r="D5" s="31">
        <v>74.76662332787613</v>
      </c>
      <c r="E5" s="31">
        <v>75.1865704751482</v>
      </c>
      <c r="F5" s="31">
        <v>75.60651762242026</v>
      </c>
    </row>
    <row r="6" spans="1:6" x14ac:dyDescent="0.25">
      <c r="A6" s="30">
        <v>0.06754</v>
      </c>
      <c r="B6" s="31">
        <v>57.773643740800225</v>
      </c>
      <c r="C6" s="31">
        <v>58.116577582532486</v>
      </c>
      <c r="D6" s="31">
        <v>58.45951142426471</v>
      </c>
      <c r="E6" s="31">
        <v>58.80244526599694</v>
      </c>
      <c r="F6" s="31">
        <v>59.14537910772918</v>
      </c>
    </row>
    <row r="7" spans="1:6" x14ac:dyDescent="0.25">
      <c r="A7" s="30">
        <v>0.07754</v>
      </c>
      <c r="B7" s="31">
        <v>45.805921018049546</v>
      </c>
      <c r="C7" s="31">
        <v>46.092354647350234</v>
      </c>
      <c r="D7" s="32">
        <v>46.3787882766509</v>
      </c>
      <c r="E7" s="31">
        <v>46.66522190595158</v>
      </c>
      <c r="F7" s="31">
        <v>46.951655535252236</v>
      </c>
    </row>
    <row r="8" spans="1:6" x14ac:dyDescent="0.25">
      <c r="A8" s="30">
        <v>0.08754</v>
      </c>
      <c r="B8" s="31">
        <v>36.58853768229648</v>
      </c>
      <c r="C8" s="31">
        <v>36.83192054035895</v>
      </c>
      <c r="D8" s="31">
        <v>37.07530339842138</v>
      </c>
      <c r="E8" s="31">
        <v>37.31868625648385</v>
      </c>
      <c r="F8" s="31">
        <v>37.5620691145463</v>
      </c>
    </row>
    <row r="9" spans="1:6" x14ac:dyDescent="0.25">
      <c r="A9" s="30">
        <v>0.09754</v>
      </c>
      <c r="B9" s="31">
        <v>29.274987042895276</v>
      </c>
      <c r="C9" s="31">
        <v>29.484603679343785</v>
      </c>
      <c r="D9" s="31">
        <v>29.694220315792293</v>
      </c>
      <c r="E9" s="31">
        <v>29.903836952240802</v>
      </c>
      <c r="F9" s="31">
        <v>30.11345358868931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5749377000</v>
      </c>
      <c r="C5" s="18">
        <v>5271142000</v>
      </c>
      <c r="D5" s="18">
        <v>4078993000</v>
      </c>
      <c r="E5" s="18">
        <v>3343681000</v>
      </c>
      <c r="F5" s="8" t="s">
        <v>84</v>
      </c>
    </row>
    <row r="6" spans="1:6" x14ac:dyDescent="0.25">
      <c r="A6" t="s">
        <v>44</v>
      </c>
      <c r="B6" s="18">
        <v>2593823000</v>
      </c>
      <c r="C6" s="18">
        <v>2320928000</v>
      </c>
      <c r="D6" s="18">
        <v>1722316000</v>
      </c>
      <c r="E6" s="18">
        <v>1308503000</v>
      </c>
      <c r="F6" s="8" t="s">
        <v>85</v>
      </c>
    </row>
    <row r="7" spans="1:6" x14ac:dyDescent="0.25">
      <c r="A7" t="s">
        <v>86</v>
      </c>
      <c r="B7" s="18">
        <v>2524200000</v>
      </c>
      <c r="C7" s="18">
        <v>2395644000</v>
      </c>
      <c r="D7" s="18">
        <v>1895177000</v>
      </c>
      <c r="E7" s="18">
        <v>1670389000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89</v>
      </c>
    </row>
    <row r="9" spans="1:6" x14ac:dyDescent="0.25">
      <c r="A9" t="s">
        <v>90</v>
      </c>
      <c r="B9" s="18">
        <v>-77848000</v>
      </c>
      <c r="C9" s="18">
        <v>-30689000</v>
      </c>
      <c r="D9" s="18">
        <v>-174007000</v>
      </c>
      <c r="E9" s="18">
        <v>34814000</v>
      </c>
      <c r="F9" s="8" t="s">
        <v>91</v>
      </c>
    </row>
    <row r="10" spans="1:6" x14ac:dyDescent="0.25">
      <c r="A10" t="s">
        <v>92</v>
      </c>
      <c r="B10" s="18">
        <v>29345846000</v>
      </c>
      <c r="C10" s="18">
        <v>26757140000</v>
      </c>
      <c r="D10" s="18">
        <v>21989695000</v>
      </c>
      <c r="E10" s="18">
        <v>18600298000</v>
      </c>
      <c r="F10" s="8" t="s">
        <v>93</v>
      </c>
    </row>
    <row r="11" spans="1:6" x14ac:dyDescent="0.25">
      <c r="A11" t="s">
        <v>94</v>
      </c>
      <c r="B11" s="18">
        <v>434842000</v>
      </c>
      <c r="C11" s="18">
        <v>444962000</v>
      </c>
      <c r="D11" s="18">
        <v>232923000</v>
      </c>
      <c r="E11" s="18">
        <v>171102000</v>
      </c>
      <c r="F11" s="8" t="s">
        <v>95</v>
      </c>
    </row>
    <row r="12" spans="1:6" x14ac:dyDescent="0.25">
      <c r="A12" t="s">
        <v>32</v>
      </c>
      <c r="B12" s="34">
        <v>911015000</v>
      </c>
      <c r="C12" s="34">
        <v>865842000</v>
      </c>
      <c r="D12" s="34">
        <v>694819000</v>
      </c>
      <c r="E12" s="34">
        <v>613472663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