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<sst xmlns="http://schemas.openxmlformats.org/spreadsheetml/2006/main" count="114" uniqueCount="102">
  <si>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Ora Banda Mining Limited (OBM.AX)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</si>
  <si>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</si>
  <si>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</si>
  <si>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</si>
  <si>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</si>
  <si>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</si>
  <si>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</si>
  <si>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</si>
  <si>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</si>
  <si>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</si>
  <si>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</si>
  <si>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</si>
  <si>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</si>
  <si>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</si>
  <si>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</si>
  <si>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</si>
  <si>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</si>
  <si>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</si>
  <si>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</si>
  <si>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</si>
  <si>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</si>
  <si>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</si>
  <si>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Implied cost of debt of 14.6% is not a credible funding cost, so risk-free + 2bp is assumed instead. Interest expense and reported debt are measuring different things - common for banks, whose interest expense includes deposits that total debt excludes.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</si>
  <si>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</si>
  <si>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</si>
  <si>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</si>
  <si>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</si>
  <si>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</si>
  <si>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</si>
  <si>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</si>
  <si>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</si>
  <si>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</si>
  <si>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</si>
  <si>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</si>
  <si>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</si>
  <si>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</si>
  <si>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</si>
  <si>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</si>
  <si>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</si>
  <si>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</si>
  <si>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</si>
  <si>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</si>
  <si>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</si>
  <si>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</si>
  <si>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</si>
  <si>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</si>
  <si>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</si>
  <si>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</si>
  <si>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</si>
  <si>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</si>
  <si>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</si>
  <si>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</si>
  <si>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</si>
  <si>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</si>
  <si>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</si>
  <si>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</si>
  <si>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</si>
  <si>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</si>
  <si>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</si>
  <si>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</si>
  <si>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</si>
  <si>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</si>
  <si>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</si>
  <si>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</si>
  <si>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</si>
  <si>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</si>
  <si>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</si>
  <si>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</si>
  <si>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</si>
  <si>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</si>
  <si>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</si>
  <si>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</si>
  <si>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</si>
  <si>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</si>
  <si>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</si>
  <si>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</si>
  <si>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</si>
  <si>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</si>
  <si>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</si>
  <si>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</si>
  <si>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2024-06-30</t>
  </si>
  <si>
    <t>2023-06-30</t>
  </si>
  <si>
    <t>2022-06-30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</si>
  <si>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</si>
  <si>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</si>
  <si>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</si>
  <si>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</si>
  <si>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</si>
  <si>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</si>
  <si>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</si>
  <si>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</si>
  <si>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</si>
  <si>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</si>
  <si>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</si>
  <si>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</si>
  <si>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</si>
  <si>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</si>
  <si>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</si>
  <si>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</si>
  <si>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Free cashflow is negative in at least one forecast year, so terminal value carries most of the valuation.</t>
  </si>
  <si>
    <t>Adjusted: Capital expenditure runs at 24.1% of revenue against depreciation of 16.3%.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</si>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</sst>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0.5</v>
      </c>
    </row>
    <row r="7" spans="1:2" x14ac:dyDescent="0.25">
      <c r="A7" t="s">
        <v>5</v>
      </c>
      <c r="B7" s="6">
        <v>-0.015551525495518088</v>
      </c>
    </row>
    <row r="8" spans="1:2" x14ac:dyDescent="0.25">
      <c r="A8" t="s">
        <v>6</v>
      </c>
      <c r="B8" s="6">
        <v>0.15559346982470226</v>
      </c>
    </row>
    <row r="9" spans="1:2" x14ac:dyDescent="0.25">
      <c r="A9" t="s">
        <v>7</v>
      </c>
      <c r="B9" s="6">
        <v>0.16271664695354462</v>
      </c>
    </row>
    <row r="10" spans="1:2" x14ac:dyDescent="0.25">
      <c r="A10" t="s">
        <v>8</v>
      </c>
      <c r="B10" s="6">
        <v>0.24107181356798363</v>
      </c>
    </row>
    <row r="11" spans="1:2" x14ac:dyDescent="0.25">
      <c r="A11" t="s">
        <v>9</v>
      </c>
      <c r="B11" s="6">
        <v>0.041264614284984936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6.35113905457799</v>
      </c>
    </row>
    <row r="14" spans="1:3" x14ac:dyDescent="0.25">
      <c r="A14" t="s">
        <v>12</v>
      </c>
      <c r="B14" s="6">
        <v>0.27396379709391655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1.2747</v>
      </c>
      <c r="C19" s="8" t="s">
        <v>19</v>
      </c>
    </row>
    <row r="20" spans="1:2" x14ac:dyDescent="0.25">
      <c r="A20" t="s">
        <v>20</v>
      </c>
      <c r="B20" s="10">
        <f>B17+B19*B18</f>
        <v>0.129962</v>
      </c>
    </row>
    <row r="21" spans="1:3" x14ac:dyDescent="0.25">
      <c r="A21" t="s">
        <v>21</v>
      </c>
      <c r="B21" s="6">
        <v>0.07348</v>
      </c>
      <c r="C21" s="8" t="s">
        <v>22</v>
      </c>
    </row>
    <row r="22" spans="1:2" x14ac:dyDescent="0.25">
      <c r="A22" t="s">
        <v>23</v>
      </c>
      <c r="B22" s="11">
        <v>2961739264</v>
      </c>
    </row>
    <row r="23" spans="1:2" x14ac:dyDescent="0.25">
      <c r="A23" t="s">
        <v>24</v>
      </c>
      <c r="B23" s="11">
        <v>31772000</v>
      </c>
    </row>
    <row r="24" spans="1:2" x14ac:dyDescent="0.25">
      <c r="A24" t="s">
        <v>25</v>
      </c>
      <c r="B24" s="10">
        <f>B22/(B22+B23)</f>
        <v>0.9893863770007848</v>
      </c>
    </row>
    <row r="25" spans="1:2" x14ac:dyDescent="0.25">
      <c r="A25" t="s">
        <v>26</v>
      </c>
      <c r="B25" s="10">
        <f>1-B24</f>
        <v>0.0106136229992152</v>
      </c>
    </row>
    <row r="26" spans="1:2" x14ac:dyDescent="0.25">
      <c r="A26" t="s">
        <v>27</v>
      </c>
      <c r="B26" s="12">
        <f>B24*B20+B25*B21*(1-B8)</f>
        <v>0.12924117570737226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807499000</v>
      </c>
      <c r="C29" s="8" t="s">
        <v>30</v>
      </c>
    </row>
    <row r="30" spans="1:2" x14ac:dyDescent="0.25">
      <c r="A30" t="s">
        <v>31</v>
      </c>
      <c r="B30" s="11">
        <v>-235932000</v>
      </c>
    </row>
    <row r="31" spans="1:2" x14ac:dyDescent="0.25">
      <c r="A31" t="s">
        <v>32</v>
      </c>
      <c r="B31" s="13">
        <v>2045364238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0.5</v>
      </c>
      <c r="C5" s="10">
        <f>Assumptions!B6</f>
        <v>0.5</v>
      </c>
      <c r="D5" s="10">
        <f>Assumptions!B6</f>
        <v>0.5</v>
      </c>
      <c r="E5" s="10">
        <f>Assumptions!B6</f>
        <v>0.5</v>
      </c>
      <c r="F5" s="10">
        <f>Assumptions!B6</f>
        <v>0.5</v>
      </c>
    </row>
    <row r="6" spans="1:6" x14ac:dyDescent="0.25">
      <c r="A6" t="s">
        <v>43</v>
      </c>
      <c r="B6" s="18">
        <f>Assumptions!B29*(1+B5)</f>
        <v>1211248500</v>
      </c>
      <c r="C6" s="18">
        <f>B6*(1+C5)</f>
        <v>1816872750</v>
      </c>
      <c r="D6" s="18">
        <f>C6*(1+D5)</f>
        <v>2725309125</v>
      </c>
      <c r="E6" s="18">
        <f>D6*(1+E5)</f>
        <v>4087963687.5</v>
      </c>
      <c r="F6" s="18">
        <f>E6*(1+F5)</f>
        <v>6131945531.25</v>
      </c>
    </row>
    <row r="7" spans="1:6" x14ac:dyDescent="0.25">
      <c r="A7" t="s">
        <v>5</v>
      </c>
      <c r="B7" s="10">
        <f>Assumptions!B7</f>
        <v>-0.015551525495518088</v>
      </c>
      <c r="C7" s="10">
        <f>Assumptions!B7</f>
        <v>-0.015551525495518088</v>
      </c>
      <c r="D7" s="10">
        <f>Assumptions!B7</f>
        <v>-0.015551525495518088</v>
      </c>
      <c r="E7" s="10">
        <f>Assumptions!B7</f>
        <v>-0.015551525495518088</v>
      </c>
      <c r="F7" s="10">
        <f>Assumptions!B7</f>
        <v>-0.015551525495518088</v>
      </c>
    </row>
    <row r="8" spans="1:6" x14ac:dyDescent="0.25">
      <c r="A8" t="s">
        <v>44</v>
      </c>
      <c r="B8" s="18">
        <f>B6*B7</f>
        <v>-18836761.929158043</v>
      </c>
      <c r="C8" s="18">
        <f>C6*C7</f>
        <v>-28255142.893737063</v>
      </c>
      <c r="D8" s="18">
        <f>D6*D7</f>
        <v>-42382714.340605594</v>
      </c>
      <c r="E8" s="18">
        <f>E6*E7</f>
        <v>-63574071.51090839</v>
      </c>
      <c r="F8" s="18">
        <f>F6*F7</f>
        <v>-95361107.26636258</v>
      </c>
    </row>
    <row r="9" spans="1:6" x14ac:dyDescent="0.25">
      <c r="A9" t="s">
        <v>45</v>
      </c>
      <c r="B9" s="18">
        <f>B8*(1-Assumptions!B8)</f>
        <v>-15905884.78033849</v>
      </c>
      <c r="C9" s="18">
        <f>C8*(1-Assumptions!B8)</f>
        <v>-23858827.170507737</v>
      </c>
      <c r="D9" s="18">
        <f>D8*(1-Assumptions!B8)</f>
        <v>-35788240.7557616</v>
      </c>
      <c r="E9" s="18">
        <f>E8*(1-Assumptions!B8)</f>
        <v>-53682361.1336424</v>
      </c>
      <c r="F9" s="18">
        <f>F8*(1-Assumptions!B8)</f>
        <v>-80523541.7004636</v>
      </c>
    </row>
    <row r="10" spans="1:6" x14ac:dyDescent="0.25">
      <c r="A10" t="s">
        <v>46</v>
      </c>
      <c r="B10" s="18">
        <f>B6*Assumptions!B9</f>
        <v>197090294.5475105</v>
      </c>
      <c r="C10" s="18">
        <f>C6*Assumptions!B9</f>
        <v>295635441.82126576</v>
      </c>
      <c r="D10" s="18">
        <f>D6*Assumptions!B9</f>
        <v>443453162.7318986</v>
      </c>
      <c r="E10" s="18">
        <f>E6*Assumptions!B9</f>
        <v>665179744.0978479</v>
      </c>
      <c r="F10" s="18">
        <f>F6*Assumptions!B9</f>
        <v>997769616.1467719</v>
      </c>
    </row>
    <row r="11" spans="1:6" x14ac:dyDescent="0.25">
      <c r="A11" t="s">
        <v>47</v>
      </c>
      <c r="B11" s="18">
        <f>-B6*Assumptions!B10</f>
        <v>-291997872.5764998</v>
      </c>
      <c r="C11" s="18">
        <f>-C6*Assumptions!B10</f>
        <v>-437996808.8647497</v>
      </c>
      <c r="D11" s="18">
        <f>-D6*Assumptions!B10</f>
        <v>-656995213.2971246</v>
      </c>
      <c r="E11" s="18">
        <f>-E6*Assumptions!B10</f>
        <v>-985492819.9456869</v>
      </c>
      <c r="F11" s="18">
        <f>-F6*Assumptions!B10</f>
        <v>-1478239229.9185302</v>
      </c>
    </row>
    <row r="12" spans="1:6" x14ac:dyDescent="0.25">
      <c r="A12" t="s">
        <v>48</v>
      </c>
      <c r="B12" s="18">
        <f>-(B6-Assumptions!B29)*Assumptions!B11</f>
        <v>-16660567.385255525</v>
      </c>
      <c r="C12" s="18">
        <f>-(C6-B6)*Assumptions!B11</f>
        <v>-24990851.07788329</v>
      </c>
      <c r="D12" s="18">
        <f>-(D6-C6)*Assumptions!B11</f>
        <v>-37486276.61682493</v>
      </c>
      <c r="E12" s="18">
        <f>-(E6-D6)*Assumptions!B11</f>
        <v>-56229414.9252374</v>
      </c>
      <c r="F12" s="18">
        <f>-(F6-E6)*Assumptions!B11</f>
        <v>-84344122.3878561</v>
      </c>
    </row>
    <row r="13" spans="1:6" x14ac:dyDescent="0.25">
      <c r="A13" s="19" t="s">
        <v>49</v>
      </c>
      <c r="B13" s="20">
        <f>B9+B10+B11+B12</f>
        <v>-127474030.19458334</v>
      </c>
      <c r="C13" s="20">
        <f>C9+C10+C11+C12</f>
        <v>-191211045.291875</v>
      </c>
      <c r="D13" s="20">
        <f>D9+D10+D11+D12</f>
        <v>-286816567.93781257</v>
      </c>
      <c r="E13" s="20">
        <f>E9+E10+E11+E12</f>
        <v>-430224851.90671885</v>
      </c>
      <c r="F13" s="20">
        <f>F9+F10+F11+F12</f>
        <v>-645337277.860078</v>
      </c>
    </row>
    <row r="14" spans="1:6" x14ac:dyDescent="0.25">
      <c r="A14" t="s">
        <v>50</v>
      </c>
      <c r="B14" s="21">
        <f>1/(1+Assumptions!$B$26)^(1-0.5*Assumptions!$B$32)</f>
        <v>0.9410368867779775</v>
      </c>
      <c r="C14" s="21">
        <f>1/(1+Assumptions!$B$26)^(2-0.5*Assumptions!$B$32)</f>
        <v>0.833335612464272</v>
      </c>
      <c r="D14" s="21">
        <f>1/(1+Assumptions!$B$26)^(3-0.5*Assumptions!$B$32)</f>
        <v>0.7379607035160218</v>
      </c>
      <c r="E14" s="21">
        <f>1/(1+Assumptions!$B$26)^(4-0.5*Assumptions!$B$32)</f>
        <v>0.6535014126222888</v>
      </c>
      <c r="F14" s="21">
        <f>1/(1+Assumptions!$B$26)^(5-0.5*Assumptions!$B$32)</f>
        <v>0.5787084519061453</v>
      </c>
    </row>
    <row r="15" spans="1:6" x14ac:dyDescent="0.25">
      <c r="A15" s="19" t="s">
        <v>51</v>
      </c>
      <c r="B15" s="20">
        <f>B13*B14</f>
        <v>-119957764.5193526</v>
      </c>
      <c r="C15" s="20">
        <f>C13*C14</f>
        <v>-159342973.53823832</v>
      </c>
      <c r="D15" s="20">
        <f>D13*D14</f>
        <v>-211659356.25543904</v>
      </c>
      <c r="E15" s="20">
        <f>E13*E14</f>
        <v>-281152548.4662558</v>
      </c>
      <c r="F15" s="20">
        <f>F13*F14</f>
        <v>-373462137.02773166</v>
      </c>
    </row>
    <row r="17" spans="1:2" x14ac:dyDescent="0.25">
      <c r="A17" s="22" t="s">
        <v>52</v>
      </c>
      <c r="B17" s="23">
        <f>SUM(B15:F15)</f>
        <v>-1145574779.8070173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-645337277.860078</v>
      </c>
    </row>
    <row r="5" spans="1:2" x14ac:dyDescent="0.25">
      <c r="A5" t="s">
        <v>56</v>
      </c>
      <c r="B5" s="18">
        <f>IF(Assumptions!$B$33=0,B4,B4-Forecast!F11-Forecast!F10-Forecast!F12)</f>
        <v>-80523541.7004636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0.0912529329246734</v>
      </c>
    </row>
    <row r="7" spans="1:2" x14ac:dyDescent="0.25">
      <c r="A7" t="s">
        <v>58</v>
      </c>
      <c r="B7" s="18">
        <f>-MAX(Forecast!F9,0)*B6</f>
        <v>0</v>
      </c>
    </row>
    <row r="8" spans="1:2" x14ac:dyDescent="0.25">
      <c r="A8" t="s">
        <v>59</v>
      </c>
      <c r="B8" s="18">
        <f>IF(OR(Assumptions!$B$33=0,Assumptions!B12&lt;=0),B5,MAX(B5+B7,0))</f>
        <v>0</v>
      </c>
    </row>
    <row r="9" spans="1:2" x14ac:dyDescent="0.25">
      <c r="A9" t="s">
        <v>60</v>
      </c>
      <c r="B9" s="18">
        <f>B8*(1+Assumptions!B12)/(Assumptions!B26-Assumptions!B12)</f>
        <v>0</v>
      </c>
    </row>
    <row r="10" spans="1:2" x14ac:dyDescent="0.25">
      <c r="A10" t="s">
        <v>61</v>
      </c>
      <c r="B10" s="18">
        <f>B9/(1+Assumptions!B26)^(5-0.5*Assumptions!B32)</f>
        <v>0</v>
      </c>
    </row>
    <row r="11" spans="1:2" x14ac:dyDescent="0.25">
      <c r="A11" t="s">
        <v>62</v>
      </c>
      <c r="B11" s="18">
        <f>Forecast!B17+B10</f>
        <v>-1145574779.8070173</v>
      </c>
    </row>
    <row r="12" spans="1:2" x14ac:dyDescent="0.25">
      <c r="A12" t="s">
        <v>63</v>
      </c>
      <c r="B12" s="18">
        <f>-Assumptions!B30</f>
        <v>235932000</v>
      </c>
    </row>
    <row r="13" spans="1:2" x14ac:dyDescent="0.25">
      <c r="A13" t="s">
        <v>64</v>
      </c>
      <c r="B13" s="18">
        <f>B11+B12</f>
        <v>-909642779.8070173</v>
      </c>
    </row>
    <row r="14" spans="1:2" x14ac:dyDescent="0.25">
      <c r="A14" s="19" t="s">
        <v>65</v>
      </c>
      <c r="B14" s="24">
        <f>B13/Assumptions!B31</f>
        <v>-0.444733883044951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902408508.8804094</v>
      </c>
    </row>
    <row r="18" spans="1:2" x14ac:dyDescent="0.25">
      <c r="A18" t="s">
        <v>60</v>
      </c>
      <c r="B18" s="18">
        <f>B17*Assumptions!B13</f>
        <v>5731321923.933857</v>
      </c>
    </row>
    <row r="19" spans="1:2" x14ac:dyDescent="0.25">
      <c r="A19" t="s">
        <v>61</v>
      </c>
      <c r="B19" s="18">
        <f>B18/(1+Assumptions!B26)^(5-0.5*Assumptions!B32)</f>
        <v>3316764437.9755125</v>
      </c>
    </row>
    <row r="20" spans="1:2" x14ac:dyDescent="0.25">
      <c r="A20" t="s">
        <v>62</v>
      </c>
      <c r="B20" s="18">
        <f>Forecast!B17+B19</f>
        <v>2171189658.168495</v>
      </c>
    </row>
    <row r="21" spans="1:2" x14ac:dyDescent="0.25">
      <c r="A21" t="s">
        <v>63</v>
      </c>
      <c r="B21" s="18">
        <f>-Assumptions!B30</f>
        <v>235932000</v>
      </c>
    </row>
    <row r="22" spans="1:2" x14ac:dyDescent="0.25">
      <c r="A22" t="s">
        <v>64</v>
      </c>
      <c r="B22" s="18">
        <f>B20+B21</f>
        <v>2407121658.168495</v>
      </c>
    </row>
    <row r="23" spans="1:2" x14ac:dyDescent="0.25">
      <c r="A23" s="19" t="s">
        <v>65</v>
      </c>
      <c r="B23" s="25">
        <f>B22/Assumptions!B31</f>
        <v>1.1768669919262054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1.53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-0.444733883044951</v>
      </c>
    </row>
    <row r="29" spans="1:2" x14ac:dyDescent="0.25">
      <c r="A29" s="19" t="s">
        <v>73</v>
      </c>
      <c r="B29" s="12">
        <f>B28/B26-1</f>
        <v>-1.2906757405522555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0.109241</v>
      </c>
      <c r="B5" s="31">
        <v>-0.47626575755011896</v>
      </c>
      <c r="C5" s="31">
        <v>-0.47626575755011896</v>
      </c>
      <c r="D5" s="31">
        <v>-0.47626575755011896</v>
      </c>
      <c r="E5" s="31">
        <v>-0.47626575755011896</v>
      </c>
      <c r="F5" s="31">
        <v>-0.47626575755011896</v>
      </c>
    </row>
    <row r="6" spans="1:6" x14ac:dyDescent="0.25">
      <c r="A6" s="30">
        <v>0.119241</v>
      </c>
      <c r="B6" s="31">
        <v>-0.4601724444052109</v>
      </c>
      <c r="C6" s="31">
        <v>-0.4601724444052109</v>
      </c>
      <c r="D6" s="31">
        <v>-0.4601724444052109</v>
      </c>
      <c r="E6" s="31">
        <v>-0.4601724444052109</v>
      </c>
      <c r="F6" s="31">
        <v>-0.4601724444052109</v>
      </c>
    </row>
    <row r="7" spans="1:6" x14ac:dyDescent="0.25">
      <c r="A7" s="30">
        <v>0.129241</v>
      </c>
      <c r="B7" s="31">
        <v>-0.44473414875068906</v>
      </c>
      <c r="C7" s="31">
        <v>-0.44473414875068906</v>
      </c>
      <c r="D7" s="32">
        <v>-0.44473414875068906</v>
      </c>
      <c r="E7" s="31">
        <v>-0.44473414875068906</v>
      </c>
      <c r="F7" s="31">
        <v>-0.44473414875068906</v>
      </c>
    </row>
    <row r="8" spans="1:6" x14ac:dyDescent="0.25">
      <c r="A8" s="30">
        <v>0.139241</v>
      </c>
      <c r="B8" s="31">
        <v>-0.42991755031098894</v>
      </c>
      <c r="C8" s="31">
        <v>-0.42991755031098894</v>
      </c>
      <c r="D8" s="31">
        <v>-0.42991755031098894</v>
      </c>
      <c r="E8" s="31">
        <v>-0.42991755031098894</v>
      </c>
      <c r="F8" s="31">
        <v>-0.42991755031098894</v>
      </c>
    </row>
    <row r="9" spans="1:6" x14ac:dyDescent="0.25">
      <c r="A9" s="30">
        <v>0.149241</v>
      </c>
      <c r="B9" s="31">
        <v>-0.41569133000616726</v>
      </c>
      <c r="C9" s="31">
        <v>-0.41569133000616726</v>
      </c>
      <c r="D9" s="31">
        <v>-0.41569133000616726</v>
      </c>
      <c r="E9" s="31">
        <v>-0.41569133000616726</v>
      </c>
      <c r="F9" s="31">
        <v>-0.41569133000616726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807499000</v>
      </c>
      <c r="C5" s="18">
        <v>214236000</v>
      </c>
      <c r="D5" s="18">
        <v>135888000</v>
      </c>
      <c r="E5" s="18">
        <v>154261000</v>
      </c>
      <c r="F5" s="8" t="s">
        <v>84</v>
      </c>
    </row>
    <row r="6" spans="1:6" x14ac:dyDescent="0.25">
      <c r="A6" t="s">
        <v>44</v>
      </c>
      <c r="B6" s="18">
        <v>313321000</v>
      </c>
      <c r="C6" s="18">
        <v>6595000</v>
      </c>
      <c r="D6" s="18">
        <v>-46271000</v>
      </c>
      <c r="E6" s="18">
        <v>-21673000</v>
      </c>
      <c r="F6" s="8" t="s">
        <v>85</v>
      </c>
    </row>
    <row r="7" spans="1:6" x14ac:dyDescent="0.25">
      <c r="A7" t="s">
        <v>86</v>
      </c>
      <c r="B7" s="18">
        <v>115863000</v>
      </c>
      <c r="C7" s="18">
        <v>22724000</v>
      </c>
      <c r="D7" s="18">
        <v>17787000</v>
      </c>
      <c r="E7" s="18">
        <v>41715000</v>
      </c>
      <c r="F7" s="8" t="s">
        <v>87</v>
      </c>
    </row>
    <row r="8" spans="1:6" x14ac:dyDescent="0.25">
      <c r="A8" t="s">
        <v>88</v>
      </c>
      <c r="B8" s="18">
        <v>213805000</v>
      </c>
      <c r="C8" s="18">
        <v>69091000</v>
      </c>
      <c r="D8" s="18">
        <v>16726000</v>
      </c>
      <c r="E8" s="18">
        <v>39171000</v>
      </c>
      <c r="F8" s="8" t="s">
        <v>89</v>
      </c>
    </row>
    <row r="9" spans="1:6" x14ac:dyDescent="0.25">
      <c r="A9" t="s">
        <v>90</v>
      </c>
      <c r="B9" s="18">
        <v>-18038000</v>
      </c>
      <c r="C9" s="18">
        <v>3233000</v>
      </c>
      <c r="D9" s="18">
        <v>-3351000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31772000</v>
      </c>
      <c r="C10" s="18">
        <v>31088000</v>
      </c>
      <c r="D10" s="18">
        <v>31799000</v>
      </c>
      <c r="E10" s="18">
        <v>24340000</v>
      </c>
      <c r="F10" s="8" t="s">
        <v>93</v>
      </c>
    </row>
    <row r="11" spans="1:6" x14ac:dyDescent="0.25">
      <c r="A11" t="s">
        <v>94</v>
      </c>
      <c r="B11" s="18">
        <v>267704000</v>
      </c>
      <c r="C11" s="18">
        <v>26804000</v>
      </c>
      <c r="D11" s="18">
        <v>24729000</v>
      </c>
      <c r="E11" s="18">
        <v>27755000</v>
      </c>
      <c r="F11" s="8" t="s">
        <v>95</v>
      </c>
    </row>
    <row r="12" spans="1:6" x14ac:dyDescent="0.25">
      <c r="A12" t="s">
        <v>32</v>
      </c>
      <c r="B12" s="34">
        <v>2045364238</v>
      </c>
      <c r="C12" s="34">
        <v>1875442177</v>
      </c>
      <c r="D12" s="34">
        <v>1367656798</v>
      </c>
      <c r="E12" s="34">
        <v>1095341781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2026-09-19T01:04:21Z</dcterms:modified>
</cp:coreProperties>
</file>