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<sst xmlns="http://schemas.openxmlformats.org/spreadsheetml/2006/main" count="116" uniqueCount="104">
  <si>
    <t>Oceania Healthcare Limited (OCA.NZ)</t>
  </si>
  <si>
    <t>DCF Studio - Base case</t>
  </si>
  <si>
    <t>Blue figures on a cream fill are inputs. Every other figure is a formula - change an input and the model reprices. Currency figures are NZD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</si>
  <si>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</si>
  <si>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</si>
  <si>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</si>
  <si>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</si>
  <si>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</si>
  <si>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</si>
  <si>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</si>
  <si>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</si>
  <si>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</si>
  <si>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</si>
  <si>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</si>
  <si>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</si>
  <si>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</si>
  <si>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NZD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</si>
  <si>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</si>
  <si>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</si>
  <si>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</si>
  <si>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</si>
  <si>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</si>
  <si>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</si>
  <si>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(NZD m)</t>
  </si>
  <si>
    <t>Total debt (NZD m)</t>
  </si>
  <si>
    <t>Equity weight</t>
  </si>
  <si>
    <t>Debt weight</t>
  </si>
  <si>
    <t>WACC</t>
  </si>
  <si>
    <t>Base year</t>
  </si>
  <si>
    <t>Revenue, last reported year (NZD m)</t>
  </si>
  <si>
    <t>Fiscal year ended 2026-03-31</t>
  </si>
  <si>
    <t>Net debt (NZD m)</t>
  </si>
  <si>
    <t>Diluted shares</t>
  </si>
  <si>
    <t>Mid-year discounting (1 = yes, 0 = no)</t>
  </si>
  <si>
    <t>Terminal year on a steady-state footing (1 = yes, 0 = no)</t>
  </si>
  <si>
    <t>Forecast cashflows (NZD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</si>
  <si>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</si>
  <si>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</si>
  <si>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</si>
  <si>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</si>
  <si>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</si>
  <si>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</si>
  <si>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</si>
  <si>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</si>
  <si>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</si>
  <si>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</si>
  <si>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</si>
  <si>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</si>
  <si>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</si>
  <si>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</si>
  <si>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</si>
  <si>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</si>
  <si>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</si>
  <si>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(NZD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</si>
  <si>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</si>
  <si>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</si>
  <si>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</si>
  <si>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</si>
  <si>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</si>
  <si>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</si>
  <si>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</si>
  <si>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</si>
  <si>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</si>
  <si>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</si>
  <si>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</si>
  <si>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</si>
  <si>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</si>
  <si>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</si>
  <si>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</si>
  <si>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(NZD)</t>
  </si>
  <si>
    <t>Conversion, NZD to NZD</t>
  </si>
  <si>
    <t>Same currency, no conversion</t>
  </si>
  <si>
    <t>Value per share (NZD)</t>
  </si>
  <si>
    <t>Implied upside</t>
  </si>
  <si>
    <t>Value per share (NZD)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</si>
  <si>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</si>
  <si>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(NZD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</si>
  <si>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</si>
  <si>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</si>
  <si>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</si>
  <si>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</si>
  <si>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</si>
  <si>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</si>
  <si>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</si>
  <si>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</si>
  <si>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</si>
  <si>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</si>
  <si>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</si>
  <si>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</si>
  <si>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</si>
  <si>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</si>
  <si>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</si>
  <si>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</si>
  <si>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</si>
  <si>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</si>
  <si>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</si>
  <si>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</si>
  <si>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</si>
  <si>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</si>
  <si>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Free cashflow is negative in at least one forecast year, so terminal value carries most of the valuation.</t>
  </si>
  <si>
    <t>Adjusted: Capital expenditure runs at 16.0% of revenue against depreciation of 7.9%.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</si>
  <si>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NZD assumption - no free live source available for this market.</t>
  </si>
  <si>
    <t>Current EV/EBITDA of 120.4x sits outside a defensible 3-20x band, so the exit multiple is capped at 20.0x. A multiple that far out usually means EBITDA is the wrong denominator for this business.</t>
  </si>
  <si>
    <t>Data: Yahoo Finance. Risk-free rate: NZD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</si>
</sst>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0.02622477233937559</v>
      </c>
    </row>
    <row r="7" spans="1:2" x14ac:dyDescent="0.25">
      <c r="A7" t="s">
        <v>5</v>
      </c>
      <c r="B7" s="6">
        <v>-0.0429918035379139</v>
      </c>
    </row>
    <row r="8" spans="1:2" x14ac:dyDescent="0.25">
      <c r="A8" t="s">
        <v>6</v>
      </c>
      <c r="B8" s="6">
        <v>0.28</v>
      </c>
    </row>
    <row r="9" spans="1:2" x14ac:dyDescent="0.25">
      <c r="A9" t="s">
        <v>7</v>
      </c>
      <c r="B9" s="6">
        <v>0.0794815716306424</v>
      </c>
    </row>
    <row r="10" spans="1:2" x14ac:dyDescent="0.25">
      <c r="A10" t="s">
        <v>8</v>
      </c>
      <c r="B10" s="6">
        <v>0.15961166763252174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0.06273985197292453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0.73803</v>
      </c>
      <c r="C19" s="8" t="s">
        <v>19</v>
      </c>
    </row>
    <row r="20" spans="1:2" x14ac:dyDescent="0.25">
      <c r="A20" t="s">
        <v>20</v>
      </c>
      <c r="B20" s="10">
        <f>B17+B19*B18</f>
        <v>0.09297195</v>
      </c>
    </row>
    <row r="21" spans="1:3" x14ac:dyDescent="0.25">
      <c r="A21" t="s">
        <v>21</v>
      </c>
      <c r="B21" s="6">
        <v>0.045</v>
      </c>
      <c r="C21" s="8" t="s">
        <v>22</v>
      </c>
    </row>
    <row r="22" spans="1:2" x14ac:dyDescent="0.25">
      <c r="A22" t="s">
        <v>23</v>
      </c>
      <c r="B22" s="11">
        <v>528688672</v>
      </c>
    </row>
    <row r="23" spans="1:2" x14ac:dyDescent="0.25">
      <c r="A23" t="s">
        <v>24</v>
      </c>
      <c r="B23" s="11">
        <v>526811000</v>
      </c>
    </row>
    <row r="24" spans="1:2" x14ac:dyDescent="0.25">
      <c r="A24" t="s">
        <v>25</v>
      </c>
      <c r="B24" s="10">
        <f>B22/(B22+B23)</f>
        <v>0.5008894706695844</v>
      </c>
    </row>
    <row r="25" spans="1:2" x14ac:dyDescent="0.25">
      <c r="A25" t="s">
        <v>26</v>
      </c>
      <c r="B25" s="10">
        <f>1-B24</f>
        <v>0.49911052933041555</v>
      </c>
    </row>
    <row r="26" spans="1:2" x14ac:dyDescent="0.25">
      <c r="A26" t="s">
        <v>27</v>
      </c>
      <c r="B26" s="12">
        <f>B24*B20+B25*B21*(1-B8)</f>
        <v>0.06273985197292453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267139000</v>
      </c>
      <c r="C29" s="8" t="s">
        <v>30</v>
      </c>
    </row>
    <row r="30" spans="1:2" x14ac:dyDescent="0.25">
      <c r="A30" t="s">
        <v>31</v>
      </c>
      <c r="B30" s="11">
        <v>510224000</v>
      </c>
    </row>
    <row r="31" spans="1:2" x14ac:dyDescent="0.25">
      <c r="A31" t="s">
        <v>32</v>
      </c>
      <c r="B31" s="13">
        <v>724231000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0.02622477233937559</v>
      </c>
      <c r="C5" s="10">
        <f>Assumptions!B6</f>
        <v>0.02622477233937559</v>
      </c>
      <c r="D5" s="10">
        <f>Assumptions!B6</f>
        <v>0.02622477233937559</v>
      </c>
      <c r="E5" s="10">
        <f>Assumptions!B6</f>
        <v>0.02622477233937559</v>
      </c>
      <c r="F5" s="10">
        <f>Assumptions!B6</f>
        <v>0.02622477233937559</v>
      </c>
    </row>
    <row r="6" spans="1:6" x14ac:dyDescent="0.25">
      <c r="A6" t="s">
        <v>43</v>
      </c>
      <c r="B6" s="18">
        <f>Assumptions!B29*(1+B5)</f>
        <v>274144659.4579685</v>
      </c>
      <c r="C6" s="18">
        <f>B6*(1+C5)</f>
        <v>281334040.74030936</v>
      </c>
      <c r="D6" s="18">
        <f>C6*(1+D5)</f>
        <v>288711961.9100406</v>
      </c>
      <c r="E6" s="18">
        <f>D6*(1+E5)</f>
        <v>296283367.3827859</v>
      </c>
      <c r="F6" s="18">
        <f>E6*(1+F5)</f>
        <v>304053331.24034303</v>
      </c>
    </row>
    <row r="7" spans="1:6" x14ac:dyDescent="0.25">
      <c r="A7" t="s">
        <v>5</v>
      </c>
      <c r="B7" s="10">
        <f>Assumptions!B7</f>
        <v>-0.0429918035379139</v>
      </c>
      <c r="C7" s="10">
        <f>Assumptions!B7</f>
        <v>-0.0429918035379139</v>
      </c>
      <c r="D7" s="10">
        <f>Assumptions!B7</f>
        <v>-0.0429918035379139</v>
      </c>
      <c r="E7" s="10">
        <f>Assumptions!B7</f>
        <v>-0.0429918035379139</v>
      </c>
      <c r="F7" s="10">
        <f>Assumptions!B7</f>
        <v>-0.0429918035379139</v>
      </c>
    </row>
    <row r="8" spans="1:6" x14ac:dyDescent="0.25">
      <c r="A8" t="s">
        <v>44</v>
      </c>
      <c r="B8" s="18">
        <f>B6*B7</f>
        <v>-11785973.340385292</v>
      </c>
      <c r="C8" s="18">
        <f>C6*C7</f>
        <v>-12095057.808034847</v>
      </c>
      <c r="D8" s="18">
        <f>D6*D7</f>
        <v>-12412247.945482148</v>
      </c>
      <c r="E8" s="18">
        <f>E6*E7</f>
        <v>-12737756.322072301</v>
      </c>
      <c r="F8" s="18">
        <f>F6*F7</f>
        <v>-13071801.081733087</v>
      </c>
    </row>
    <row r="9" spans="1:6" x14ac:dyDescent="0.25">
      <c r="A9" t="s">
        <v>45</v>
      </c>
      <c r="B9" s="18">
        <f>B8*(1-Assumptions!B8)</f>
        <v>-8485900.80507741</v>
      </c>
      <c r="C9" s="18">
        <f>C8*(1-Assumptions!B8)</f>
        <v>-8708441.62178509</v>
      </c>
      <c r="D9" s="18">
        <f>D8*(1-Assumptions!B8)</f>
        <v>-8936818.520747146</v>
      </c>
      <c r="E9" s="18">
        <f>E8*(1-Assumptions!B8)</f>
        <v>-9171184.551892057</v>
      </c>
      <c r="F9" s="18">
        <f>F8*(1-Assumptions!B8)</f>
        <v>-9411696.778847823</v>
      </c>
    </row>
    <row r="10" spans="1:6" x14ac:dyDescent="0.25">
      <c r="A10" t="s">
        <v>46</v>
      </c>
      <c r="B10" s="18">
        <f>B6*Assumptions!B9</f>
        <v>21789448.38786659</v>
      </c>
      <c r="C10" s="18">
        <f>C6*Assumptions!B9</f>
        <v>22360871.711238965</v>
      </c>
      <c r="D10" s="18">
        <f>D6*Assumptions!B9</f>
        <v>22947280.481176194</v>
      </c>
      <c r="E10" s="18">
        <f>E6*Assumptions!B9</f>
        <v>23549067.687602837</v>
      </c>
      <c r="F10" s="18">
        <f>F6*Assumptions!B9</f>
        <v>24166636.626514766</v>
      </c>
    </row>
    <row r="11" spans="1:6" x14ac:dyDescent="0.25">
      <c r="A11" t="s">
        <v>47</v>
      </c>
      <c r="B11" s="18">
        <f>-B6*Assumptions!B10</f>
        <v>-43756686.26863612</v>
      </c>
      <c r="C11" s="18">
        <f>-C6*Assumptions!B10</f>
        <v>-44904195.40435659</v>
      </c>
      <c r="D11" s="18">
        <f>-D6*Assumptions!B10</f>
        <v>-46081797.70591868</v>
      </c>
      <c r="E11" s="18">
        <f>-E6*Assumptions!B10</f>
        <v>-47290282.35974556</v>
      </c>
      <c r="F11" s="18">
        <f>-F6*Assumptions!B10</f>
        <v>-48530459.24849467</v>
      </c>
    </row>
    <row r="12" spans="1:6" x14ac:dyDescent="0.25">
      <c r="A12" t="s">
        <v>48</v>
      </c>
      <c r="B12" s="18">
        <f>-(B6-Assumptions!B29)*Assumptions!B11</f>
        <v>7005659.457968473</v>
      </c>
      <c r="C12" s="18">
        <f>-(C6-B6)*Assumptions!B11</f>
        <v>7189381.282340884</v>
      </c>
      <c r="D12" s="18">
        <f>-(D6-C6)*Assumptions!B11</f>
        <v>7377921.169731259</v>
      </c>
      <c r="E12" s="18">
        <f>-(E6-D6)*Assumptions!B11</f>
        <v>7571405.472745299</v>
      </c>
      <c r="F12" s="18">
        <f>-(F6-E6)*Assumptions!B11</f>
        <v>7769963.857557118</v>
      </c>
    </row>
    <row r="13" spans="1:6" x14ac:dyDescent="0.25">
      <c r="A13" s="19" t="s">
        <v>49</v>
      </c>
      <c r="B13" s="20">
        <f>B9+B10+B11+B12</f>
        <v>-23447479.227878466</v>
      </c>
      <c r="C13" s="20">
        <f>C9+C10+C11+C12</f>
        <v>-24062384.03256183</v>
      </c>
      <c r="D13" s="20">
        <f>D9+D10+D11+D12</f>
        <v>-24693414.575758368</v>
      </c>
      <c r="E13" s="20">
        <f>E9+E10+E11+E12</f>
        <v>-25340993.751289483</v>
      </c>
      <c r="F13" s="20">
        <f>F9+F10+F11+F12</f>
        <v>-26005555.54327061</v>
      </c>
    </row>
    <row r="14" spans="1:6" x14ac:dyDescent="0.25">
      <c r="A14" t="s">
        <v>50</v>
      </c>
      <c r="B14" s="21">
        <f>1/(1+Assumptions!$B$26)^(1-0.5*Assumptions!$B$32)</f>
        <v>0.9700330172258603</v>
      </c>
      <c r="C14" s="21">
        <f>1/(1+Assumptions!$B$26)^(2-0.5*Assumptions!$B$32)</f>
        <v>0.9127662008957709</v>
      </c>
      <c r="D14" s="21">
        <f>1/(1+Assumptions!$B$26)^(3-0.5*Assumptions!$B$32)</f>
        <v>0.8588801852130274</v>
      </c>
      <c r="E14" s="21">
        <f>1/(1+Assumptions!$B$26)^(4-0.5*Assumptions!$B$32)</f>
        <v>0.8081753814148952</v>
      </c>
      <c r="F14" s="21">
        <f>1/(1+Assumptions!$B$26)^(5-0.5*Assumptions!$B$32)</f>
        <v>0.7604639836499564</v>
      </c>
    </row>
    <row r="15" spans="1:6" x14ac:dyDescent="0.25">
      <c r="A15" s="19" t="s">
        <v>51</v>
      </c>
      <c r="B15" s="20">
        <f>B13*B14</f>
        <v>-22744829.021759633</v>
      </c>
      <c r="C15" s="20">
        <f>C13*C14</f>
        <v>-21963330.85789652</v>
      </c>
      <c r="D15" s="20">
        <f>D13*D14</f>
        <v>-21208684.48436942</v>
      </c>
      <c r="E15" s="20">
        <f>E13*E14</f>
        <v>-20479967.290380854</v>
      </c>
      <c r="F15" s="20">
        <f>F13*F14</f>
        <v>-19776288.365465775</v>
      </c>
    </row>
    <row r="17" spans="1:2" x14ac:dyDescent="0.25">
      <c r="A17" s="22" t="s">
        <v>52</v>
      </c>
      <c r="B17" s="23">
        <f>SUM(B15:F15)</f>
        <v>-106173100.0198722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-26005555.54327061</v>
      </c>
    </row>
    <row r="5" spans="1:2" x14ac:dyDescent="0.25">
      <c r="A5" t="s">
        <v>56</v>
      </c>
      <c r="B5" s="18">
        <f>IF(Assumptions!$B$33=0,B4,B4-Forecast!F11-Forecast!F10-Forecast!F12)</f>
        <v>-9411696.778847823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0.39847081581876836</v>
      </c>
    </row>
    <row r="7" spans="1:2" x14ac:dyDescent="0.25">
      <c r="A7" t="s">
        <v>58</v>
      </c>
      <c r="B7" s="18">
        <f>-MAX(Forecast!F9,0)*B6</f>
        <v>0</v>
      </c>
    </row>
    <row r="8" spans="1:2" x14ac:dyDescent="0.25">
      <c r="A8" t="s">
        <v>59</v>
      </c>
      <c r="B8" s="18">
        <f>IF(OR(Assumptions!$B$33=0,Assumptions!B12&lt;=0),B5,MAX(B5+B7,0))</f>
        <v>0</v>
      </c>
    </row>
    <row r="9" spans="1:2" x14ac:dyDescent="0.25">
      <c r="A9" t="s">
        <v>60</v>
      </c>
      <c r="B9" s="18">
        <f>B8*(1+Assumptions!B12)/(Assumptions!B26-Assumptions!B12)</f>
        <v>0</v>
      </c>
    </row>
    <row r="10" spans="1:2" x14ac:dyDescent="0.25">
      <c r="A10" t="s">
        <v>61</v>
      </c>
      <c r="B10" s="18">
        <f>B9/(1+Assumptions!B26)^(5-0.5*Assumptions!B32)</f>
        <v>0</v>
      </c>
    </row>
    <row r="11" spans="1:2" x14ac:dyDescent="0.25">
      <c r="A11" t="s">
        <v>62</v>
      </c>
      <c r="B11" s="18">
        <f>Forecast!B17+B10</f>
        <v>-106173100.0198722</v>
      </c>
    </row>
    <row r="12" spans="1:2" x14ac:dyDescent="0.25">
      <c r="A12" t="s">
        <v>63</v>
      </c>
      <c r="B12" s="18">
        <f>-Assumptions!B30</f>
        <v>-510224000</v>
      </c>
    </row>
    <row r="13" spans="1:2" x14ac:dyDescent="0.25">
      <c r="A13" t="s">
        <v>64</v>
      </c>
      <c r="B13" s="18">
        <f>B11+B12</f>
        <v>-616397100.0198722</v>
      </c>
    </row>
    <row r="14" spans="1:2" x14ac:dyDescent="0.25">
      <c r="A14" s="19" t="s">
        <v>65</v>
      </c>
      <c r="B14" s="24">
        <f>B13/Assumptions!B31</f>
        <v>-0.8511056555434277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11094835.54478168</v>
      </c>
    </row>
    <row r="18" spans="1:2" x14ac:dyDescent="0.25">
      <c r="A18" t="s">
        <v>60</v>
      </c>
      <c r="B18" s="18">
        <f>B17*Assumptions!B13</f>
        <v>221896710.89563358</v>
      </c>
    </row>
    <row r="19" spans="1:2" x14ac:dyDescent="0.25">
      <c r="A19" t="s">
        <v>61</v>
      </c>
      <c r="B19" s="18">
        <f>B18/(1+Assumptions!B26)^(5-0.5*Assumptions!B32)</f>
        <v>168744456.7265162</v>
      </c>
    </row>
    <row r="20" spans="1:2" x14ac:dyDescent="0.25">
      <c r="A20" t="s">
        <v>62</v>
      </c>
      <c r="B20" s="18">
        <f>Forecast!B17+B19</f>
        <v>62571356.70664398</v>
      </c>
    </row>
    <row r="21" spans="1:2" x14ac:dyDescent="0.25">
      <c r="A21" t="s">
        <v>63</v>
      </c>
      <c r="B21" s="18">
        <f>-Assumptions!B30</f>
        <v>-510224000</v>
      </c>
    </row>
    <row r="22" spans="1:2" x14ac:dyDescent="0.25">
      <c r="A22" t="s">
        <v>64</v>
      </c>
      <c r="B22" s="18">
        <f>B20+B21</f>
        <v>-447652643.293356</v>
      </c>
    </row>
    <row r="23" spans="1:2" x14ac:dyDescent="0.25">
      <c r="A23" s="19" t="s">
        <v>65</v>
      </c>
      <c r="B23" s="25">
        <f>B22/Assumptions!B31</f>
        <v>-0.618107542059586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0.73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-0.8511056555434277</v>
      </c>
    </row>
    <row r="29" spans="1:2" x14ac:dyDescent="0.25">
      <c r="A29" s="19" t="s">
        <v>73</v>
      </c>
      <c r="B29" s="12">
        <f>B28/B26-1</f>
        <v>-2.165898158278668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0.04274</v>
      </c>
      <c r="B5" s="31">
        <v>-0.8580880322670374</v>
      </c>
      <c r="C5" s="31">
        <v>-0.8580880322670374</v>
      </c>
      <c r="D5" s="31">
        <v>-0.8580880322670374</v>
      </c>
      <c r="E5" s="31">
        <v>-0.8580880322670374</v>
      </c>
      <c r="F5" s="31">
        <v>-0.8580880322670374</v>
      </c>
    </row>
    <row r="6" spans="1:6" x14ac:dyDescent="0.25">
      <c r="A6" s="30">
        <v>0.05274</v>
      </c>
      <c r="B6" s="31">
        <v>-0.8545261045342325</v>
      </c>
      <c r="C6" s="31">
        <v>-0.8545261045342325</v>
      </c>
      <c r="D6" s="31">
        <v>-0.8545261045342325</v>
      </c>
      <c r="E6" s="31">
        <v>-0.8545261045342325</v>
      </c>
      <c r="F6" s="31">
        <v>-0.8545261045342325</v>
      </c>
    </row>
    <row r="7" spans="1:6" x14ac:dyDescent="0.25">
      <c r="A7" s="30">
        <v>0.06274</v>
      </c>
      <c r="B7" s="31">
        <v>-0.8511056059210725</v>
      </c>
      <c r="C7" s="31">
        <v>-0.8511056059210725</v>
      </c>
      <c r="D7" s="32">
        <v>-0.8511056059210725</v>
      </c>
      <c r="E7" s="31">
        <v>-0.8511056059210725</v>
      </c>
      <c r="F7" s="31">
        <v>-0.8511056059210725</v>
      </c>
    </row>
    <row r="8" spans="1:6" x14ac:dyDescent="0.25">
      <c r="A8" s="30">
        <v>0.07274</v>
      </c>
      <c r="B8" s="31">
        <v>-0.8478192614504526</v>
      </c>
      <c r="C8" s="31">
        <v>-0.8478192614504526</v>
      </c>
      <c r="D8" s="31">
        <v>-0.8478192614504526</v>
      </c>
      <c r="E8" s="31">
        <v>-0.8478192614504526</v>
      </c>
      <c r="F8" s="31">
        <v>-0.8478192614504526</v>
      </c>
    </row>
    <row r="9" spans="1:6" x14ac:dyDescent="0.25">
      <c r="A9" s="30">
        <v>0.08274</v>
      </c>
      <c r="B9" s="31">
        <v>-0.844660245105525</v>
      </c>
      <c r="C9" s="31">
        <v>-0.844660245105525</v>
      </c>
      <c r="D9" s="31">
        <v>-0.844660245105525</v>
      </c>
      <c r="E9" s="31">
        <v>-0.844660245105525</v>
      </c>
      <c r="F9" s="31">
        <v>-0.844660245105525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267139000</v>
      </c>
      <c r="C5" s="18">
        <v>260572000</v>
      </c>
      <c r="D5" s="18">
        <v>265463000</v>
      </c>
      <c r="E5" s="18">
        <v>247178000</v>
      </c>
      <c r="F5" s="8" t="s">
        <v>84</v>
      </c>
    </row>
    <row r="6" spans="1:6" x14ac:dyDescent="0.25">
      <c r="A6" t="s">
        <v>44</v>
      </c>
      <c r="B6" s="18">
        <v>-15118000</v>
      </c>
      <c r="C6" s="18">
        <v>-20934000</v>
      </c>
      <c r="D6" s="18">
        <v>-8824000</v>
      </c>
      <c r="E6" s="18">
        <v>-444000</v>
      </c>
      <c r="F6" s="8" t="s">
        <v>85</v>
      </c>
    </row>
    <row r="7" spans="1:6" x14ac:dyDescent="0.25">
      <c r="A7" t="s">
        <v>86</v>
      </c>
      <c r="B7" s="18">
        <v>23747000</v>
      </c>
      <c r="C7" s="18">
        <v>22148000</v>
      </c>
      <c r="D7" s="18">
        <v>18986000</v>
      </c>
      <c r="E7" s="18">
        <v>17924000</v>
      </c>
      <c r="F7" s="8" t="s">
        <v>87</v>
      </c>
    </row>
    <row r="8" spans="1:6" x14ac:dyDescent="0.25">
      <c r="A8" t="s">
        <v>88</v>
      </c>
      <c r="B8" s="18">
        <v>17789000</v>
      </c>
      <c r="C8" s="18">
        <v>39803000</v>
      </c>
      <c r="D8" s="18">
        <v>52016000</v>
      </c>
      <c r="E8" s="18">
        <v>55160000</v>
      </c>
      <c r="F8" s="8" t="s">
        <v>89</v>
      </c>
    </row>
    <row r="9" spans="1:6" x14ac:dyDescent="0.25">
      <c r="A9" t="s">
        <v>90</v>
      </c>
      <c r="B9" s="18">
        <v>-11944000</v>
      </c>
      <c r="C9" s="18">
        <v>8712000</v>
      </c>
      <c r="D9" s="18">
        <v>-5344000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526811000</v>
      </c>
      <c r="C10" s="18">
        <v>638306000</v>
      </c>
      <c r="D10" s="18">
        <v>651723000</v>
      </c>
      <c r="E10" s="18">
        <v>558387000</v>
      </c>
      <c r="F10" s="8" t="s">
        <v>93</v>
      </c>
    </row>
    <row r="11" spans="1:6" x14ac:dyDescent="0.25">
      <c r="A11" t="s">
        <v>94</v>
      </c>
      <c r="B11" s="18">
        <v>16587000</v>
      </c>
      <c r="C11" s="18">
        <v>7589000</v>
      </c>
      <c r="D11" s="18">
        <v>7485000</v>
      </c>
      <c r="E11" s="18">
        <v>7439000</v>
      </c>
      <c r="F11" s="8" t="s">
        <v>95</v>
      </c>
    </row>
    <row r="12" spans="1:6" x14ac:dyDescent="0.25">
      <c r="A12" t="s">
        <v>32</v>
      </c>
      <c r="B12" s="34">
        <v>724231000</v>
      </c>
      <c r="C12" s="34">
        <v>724231000</v>
      </c>
      <c r="D12" s="34">
        <v>723320000</v>
      </c>
      <c r="E12" s="34">
        <v>715333000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54" customHeight="1" spans="1:6" x14ac:dyDescent="0.25">
      <c r="A18" s="35" t="s">
        <v>100</v>
      </c>
      <c r="B18" s="35"/>
      <c r="C18" s="35"/>
      <c r="D18" s="35"/>
      <c r="E18" s="35"/>
      <c r="F18" s="35"/>
    </row>
    <row r="19" ht="22" customHeight="1" spans="1:6" x14ac:dyDescent="0.25">
      <c r="A19" s="35" t="s">
        <v>101</v>
      </c>
      <c r="B19" s="35"/>
      <c r="C19" s="35"/>
      <c r="D19" s="35"/>
      <c r="E19" s="35"/>
      <c r="F19" s="35"/>
    </row>
    <row r="20" ht="38" customHeight="1" spans="1:6" x14ac:dyDescent="0.25">
      <c r="A20" s="35" t="s">
        <v>102</v>
      </c>
      <c r="B20" s="35"/>
      <c r="C20" s="35"/>
      <c r="D20" s="35"/>
      <c r="E20" s="35"/>
      <c r="F20" s="35"/>
    </row>
    <row r="22" spans="1:1" x14ac:dyDescent="0.25">
      <c r="A22" s="36" t="s">
        <v>103</v>
      </c>
    </row>
  </sheetData>
  <mergeCells count="5">
    <mergeCell ref="A16:F16"/>
    <mergeCell ref="A17:F17"/>
    <mergeCell ref="A18:F18"/>
    <mergeCell ref="A19:F19"/>
    <mergeCell ref="A20:F2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2026-09-19T00:08:36Z</dcterms:modified>
</cp:coreProperties>
</file>