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<sst xmlns="http://schemas.openxmlformats.org/spreadsheetml/2006/main" count="121" uniqueCount="108">
  <si>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Old Dominion Freight Line, Inc. (ODFL)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</si>
  <si>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</si>
  <si>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</si>
  <si>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</si>
  <si>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</si>
  <si>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</si>
  <si>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</si>
  <si>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</si>
  <si>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</si>
  <si>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</si>
  <si>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</si>
  <si>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</si>
  <si>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</si>
  <si>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</si>
  <si>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</si>
  <si>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</si>
  <si>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</si>
  <si>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</si>
  <si>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</si>
  <si>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</si>
  <si>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</si>
  <si>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</si>
  <si>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</si>
  <si>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</si>
  <si>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4598.1x interest cover. Book interest / average debt was lower, at 0.6%.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</si>
  <si>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</si>
  <si>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</si>
  <si>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</si>
  <si>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</si>
  <si>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</si>
  <si>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</si>
  <si>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</si>
  <si>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</si>
  <si>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</si>
  <si>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</si>
  <si>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</si>
  <si>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</si>
  <si>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</si>
  <si>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</si>
  <si>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</si>
  <si>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</si>
  <si>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</si>
  <si>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</si>
  <si>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</si>
  <si>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</si>
  <si>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</si>
  <si>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</si>
  <si>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</si>
  <si>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</si>
  <si>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</si>
  <si>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</si>
  <si>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</si>
  <si>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</si>
  <si>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</si>
  <si>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</si>
  <si>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</si>
  <si>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</si>
  <si>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</si>
  <si>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</si>
  <si>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</si>
  <si>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</si>
  <si>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</si>
  <si>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</si>
  <si>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</si>
  <si>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</si>
  <si>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</si>
  <si>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</si>
  <si>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</si>
  <si>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</si>
  <si>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</si>
  <si>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</si>
  <si>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</si>
  <si>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</si>
  <si>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</si>
  <si>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</si>
  <si>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</si>
  <si>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</si>
  <si>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</si>
  <si>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</si>
  <si>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</si>
  <si>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</si>
  <si>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</si>
  <si>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</si>
  <si>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</si>
  <si>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</si>
  <si>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</si>
  <si>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</si>
  <si>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</si>
  <si>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</si>
  <si>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</si>
  <si>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</si>
  <si>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</si>
  <si>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</si>
  <si>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</si>
  <si>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</si>
  <si>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</si>
  <si>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</si>
  <si>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</si>
  <si>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</si>
  <si>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</si>
  <si>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</si>
  <si>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</si>
  <si>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</si>
  <si>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</si>
  <si>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</si>
  <si>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11.5% of revenue against depreciation of 5.6%.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</si>
  <si>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Current EV/EBITDA of 20.7x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</si>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</sst>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0.09572321027496411</v>
      </c>
    </row>
    <row r="7" spans="1:2" x14ac:dyDescent="0.25">
      <c r="A7" t="s">
        <v>4</v>
      </c>
      <c r="B7" s="5">
        <v>0.2717164009018655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0.05625445486825441</v>
      </c>
    </row>
    <row r="10" spans="1:3" x14ac:dyDescent="0.25">
      <c r="A10" t="s">
        <v>7</v>
      </c>
      <c r="B10" s="5">
        <v>0.115269895114305</v>
      </c>
      <c r="C10" s="6" t="s">
        <v>8</v>
      </c>
    </row>
    <row r="11" spans="1:2" x14ac:dyDescent="0.25">
      <c r="A11" t="s">
        <v>9</v>
      </c>
      <c r="B11" s="5">
        <v>0.07495808771078408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0.29108170271008815</v>
      </c>
      <c r="C14" s="6" t="s">
        <v>13</v>
      </c>
    </row>
    <row r="15" spans="1:3" x14ac:dyDescent="0.25">
      <c r="A15" t="s">
        <v>14</v>
      </c>
      <c r="B15" s="5">
        <v>0.05625445486825441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1.1360100000000002</v>
      </c>
      <c r="C19" s="6" t="s">
        <v>21</v>
      </c>
    </row>
    <row r="20" spans="1:2" x14ac:dyDescent="0.25">
      <c r="A20" t="s">
        <v>22</v>
      </c>
      <c r="B20" s="9">
        <f>B17+B19*B18</f>
        <v>0.09699322300000002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35887005696</v>
      </c>
    </row>
    <row r="23" spans="1:2" x14ac:dyDescent="0.25">
      <c r="A23" t="s">
        <v>26</v>
      </c>
      <c r="B23" s="10">
        <v>39995000</v>
      </c>
    </row>
    <row r="24" spans="1:2" x14ac:dyDescent="0.25">
      <c r="A24" t="s">
        <v>27</v>
      </c>
      <c r="B24" s="9">
        <f>B22/(B22+B23)</f>
        <v>0.9988867704170904</v>
      </c>
    </row>
    <row r="25" spans="1:2" x14ac:dyDescent="0.25">
      <c r="A25" t="s">
        <v>28</v>
      </c>
      <c r="B25" s="9">
        <f>1-B24</f>
        <v>0.0011132295829096028</v>
      </c>
    </row>
    <row r="26" spans="1:2" x14ac:dyDescent="0.25">
      <c r="A26" t="s">
        <v>29</v>
      </c>
      <c r="B26" s="11">
        <f>B24*B20+B25*B21*(1-B8)</f>
        <v>0.09693180543036886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5496389000</v>
      </c>
      <c r="C29" s="6" t="s">
        <v>32</v>
      </c>
    </row>
    <row r="30" spans="1:2" x14ac:dyDescent="0.25">
      <c r="A30" t="s">
        <v>33</v>
      </c>
      <c r="B30" s="10">
        <v>-80096000</v>
      </c>
    </row>
    <row r="31" spans="1:2" x14ac:dyDescent="0.25">
      <c r="A31" t="s">
        <v>34</v>
      </c>
      <c r="B31" s="12">
        <v>211598000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0.09572321027496411</v>
      </c>
      <c r="C5" s="5">
        <v>0.07985058582610183</v>
      </c>
      <c r="D5" s="5">
        <v>0.0729942625978391</v>
      </c>
      <c r="E5" s="5">
        <v>0.06613793936957638</v>
      </c>
      <c r="F5" s="5">
        <v>0.059281616141313644</v>
      </c>
      <c r="G5" s="5">
        <v>0.05242529291305091</v>
      </c>
      <c r="H5" s="5">
        <v>0.045568969684788185</v>
      </c>
      <c r="I5" s="5">
        <v>0.03871264645652546</v>
      </c>
      <c r="J5" s="5">
        <v>0.03185632322826273</v>
      </c>
      <c r="K5" s="5">
        <v>0.025</v>
      </c>
    </row>
    <row r="6" spans="1:11" x14ac:dyDescent="0.25">
      <c r="A6" t="s">
        <v>50</v>
      </c>
      <c r="B6" s="18">
        <f>Assumptions!B29*(1+B5)</f>
        <v>6022521000</v>
      </c>
      <c r="C6" s="18">
        <f>B6*(1+C5)</f>
        <v>6503422830.000001</v>
      </c>
      <c r="D6" s="18">
        <f>C6*(1+D5)</f>
        <v>6978135383.837803</v>
      </c>
      <c r="E6" s="18">
        <f>D6*(1+E5)</f>
        <v>7439654878.766764</v>
      </c>
      <c r="F6" s="18">
        <f>E6*(1+F5)</f>
        <v>7880689643.513666</v>
      </c>
      <c r="G6" s="18">
        <f>F6*(1+G5)</f>
        <v>8293837106.431717</v>
      </c>
      <c r="H6" s="18">
        <f>G6*(1+H5)</f>
        <v>8671778718.105276</v>
      </c>
      <c r="I6" s="18">
        <f>H6*(1+I5)</f>
        <v>9007486221.768507</v>
      </c>
      <c r="J6" s="18">
        <f>I6*(1+J5)</f>
        <v>9294431614.323288</v>
      </c>
      <c r="K6" s="18">
        <f>J6*(1+K5)</f>
        <v>9526792404.68137</v>
      </c>
    </row>
    <row r="7" spans="1:11" x14ac:dyDescent="0.25">
      <c r="A7" t="s">
        <v>4</v>
      </c>
      <c r="B7" s="9">
        <f>Assumptions!B7</f>
        <v>0.2717164009018655</v>
      </c>
      <c r="C7" s="9">
        <f>Assumptions!B7</f>
        <v>0.2717164009018655</v>
      </c>
      <c r="D7" s="9">
        <f>Assumptions!B7</f>
        <v>0.2717164009018655</v>
      </c>
      <c r="E7" s="9">
        <f>Assumptions!B7</f>
        <v>0.2717164009018655</v>
      </c>
      <c r="F7" s="9">
        <f>Assumptions!B7</f>
        <v>0.2717164009018655</v>
      </c>
      <c r="G7" s="9">
        <f>Assumptions!B7</f>
        <v>0.2717164009018655</v>
      </c>
      <c r="H7" s="9">
        <f>Assumptions!B7</f>
        <v>0.2717164009018655</v>
      </c>
      <c r="I7" s="9">
        <f>Assumptions!B7</f>
        <v>0.2717164009018655</v>
      </c>
      <c r="J7" s="9">
        <f>Assumptions!B7</f>
        <v>0.2717164009018655</v>
      </c>
      <c r="K7" s="9">
        <f>Assumptions!B7</f>
        <v>0.2717164009018655</v>
      </c>
    </row>
    <row r="8" spans="1:11" x14ac:dyDescent="0.25">
      <c r="A8" t="s">
        <v>51</v>
      </c>
      <c r="B8" s="18">
        <f>B6*B7</f>
        <v>1636417730.475904</v>
      </c>
      <c r="C8" s="18">
        <f>C6*C7</f>
        <v>1767086644.910625</v>
      </c>
      <c r="D8" s="18">
        <f>D6*D7</f>
        <v>1896073831.5023656</v>
      </c>
      <c r="E8" s="18">
        <f>E6*E7</f>
        <v>2021476247.6105094</v>
      </c>
      <c r="F8" s="18">
        <f>F6*F7</f>
        <v>2141312626.5601387</v>
      </c>
      <c r="G8" s="18">
        <f>G6*G7</f>
        <v>2253571568.2259684</v>
      </c>
      <c r="H8" s="18">
        <f>H6*H7</f>
        <v>2356264502.7009583</v>
      </c>
      <c r="I8" s="18">
        <f>I6*I7</f>
        <v>2447481737.3520813</v>
      </c>
      <c r="J8" s="18">
        <f>J6*J7</f>
        <v>2525449506.6724396</v>
      </c>
      <c r="K8" s="18">
        <f>K6*K7</f>
        <v>2588585744.33925</v>
      </c>
    </row>
    <row r="9" spans="1:11" x14ac:dyDescent="0.25">
      <c r="A9" t="s">
        <v>52</v>
      </c>
      <c r="B9" s="18">
        <f>B8*(1-Assumptions!B8)</f>
        <v>1292770007.0759642</v>
      </c>
      <c r="C9" s="18">
        <f>C8*(1-Assumptions!B8)</f>
        <v>1395998449.4793937</v>
      </c>
      <c r="D9" s="18">
        <f>D8*(1-Assumptions!B8)</f>
        <v>1497898326.886869</v>
      </c>
      <c r="E9" s="18">
        <f>E8*(1-Assumptions!B8)</f>
        <v>1596966235.6123025</v>
      </c>
      <c r="F9" s="18">
        <f>F8*(1-Assumptions!B8)</f>
        <v>1691636974.9825096</v>
      </c>
      <c r="G9" s="18">
        <f>G8*(1-Assumptions!B8)</f>
        <v>1780321538.898515</v>
      </c>
      <c r="H9" s="18">
        <f>H8*(1-Assumptions!B8)</f>
        <v>1861448957.133757</v>
      </c>
      <c r="I9" s="18">
        <f>I8*(1-Assumptions!B8)</f>
        <v>1933510572.5081444</v>
      </c>
      <c r="J9" s="18">
        <f>J8*(1-Assumptions!B8)</f>
        <v>1995105110.2712274</v>
      </c>
      <c r="K9" s="18">
        <f>K8*(1-Assumptions!B8)</f>
        <v>2044982738.0280077</v>
      </c>
    </row>
    <row r="10" spans="1:11" x14ac:dyDescent="0.25">
      <c r="A10" t="s">
        <v>53</v>
      </c>
      <c r="B10" s="18">
        <f>B6*Assumptions!B9</f>
        <v>338793635.7876144</v>
      </c>
      <c r="C10" s="18">
        <f>C6*Assumptions!B9</f>
        <v>365846506.07941043</v>
      </c>
      <c r="D10" s="18">
        <f>D6*Assumptions!B9</f>
        <v>392551202.0146728</v>
      </c>
      <c r="E10" s="18">
        <f>E6*Assumptions!B9</f>
        <v>418513729.61297363</v>
      </c>
      <c r="F10" s="18">
        <f>F6*Assumptions!B9</f>
        <v>443323899.88175946</v>
      </c>
      <c r="G10" s="18">
        <f>G6*Assumptions!B9</f>
        <v>466565285.1884168</v>
      </c>
      <c r="H10" s="18">
        <f>H6*Assumptions!B9</f>
        <v>487826184.5251423</v>
      </c>
      <c r="I10" s="18">
        <f>I6*Assumptions!B9</f>
        <v>506711227.1388999</v>
      </c>
      <c r="J10" s="18">
        <f>J6*Assumptions!B9</f>
        <v>522853183.7740264</v>
      </c>
      <c r="K10" s="18">
        <f>K6*Assumptions!B9</f>
        <v>535924513.36837703</v>
      </c>
    </row>
    <row r="11" spans="1:11" x14ac:dyDescent="0.25">
      <c r="A11" t="s">
        <v>54</v>
      </c>
      <c r="B11" s="18">
        <f>-B6*B19</f>
        <v>-694215363.9936992</v>
      </c>
      <c r="C11" s="18">
        <f>-C6*C19</f>
        <v>-720326102.3646269</v>
      </c>
      <c r="D11" s="18">
        <f>-D6*D19</f>
        <v>-741442616.2850128</v>
      </c>
      <c r="E11" s="18">
        <f>-E6*E19</f>
        <v>-756936035.8493004</v>
      </c>
      <c r="F11" s="18">
        <f>-F6*F19</f>
        <v>-766275813.6146585</v>
      </c>
      <c r="G11" s="18">
        <f>-G6*G19</f>
        <v>-769052626.1561129</v>
      </c>
      <c r="H11" s="18">
        <f>-H6*H19</f>
        <v>-764998069.6980218</v>
      </c>
      <c r="I11" s="18">
        <f>-I6*I19</f>
        <v>-754000032.4240593</v>
      </c>
      <c r="J11" s="18">
        <f>-J6*J19</f>
        <v>-736112778.8626457</v>
      </c>
      <c r="K11" s="18">
        <f>-K6*K19</f>
        <v>-711561002.9680661</v>
      </c>
    </row>
    <row r="12" spans="1:11" x14ac:dyDescent="0.25">
      <c r="A12" t="s">
        <v>55</v>
      </c>
      <c r="B12" s="18">
        <f>-(B6-Assumptions!B29)*Assumptions!B11</f>
        <v>-39437848.603450246</v>
      </c>
      <c r="C12" s="18">
        <f>-(C6-B6)*Assumptions!B11</f>
        <v>-36047481.55341665</v>
      </c>
      <c r="D12" s="18">
        <f>-(D6-C6)*Assumptions!B11</f>
        <v>-35583545.24798427</v>
      </c>
      <c r="E12" s="18">
        <f>-(E6-D6)*Assumptions!B11</f>
        <v>-34594618.78112181</v>
      </c>
      <c r="F12" s="18">
        <f>-(F6-E6)*Assumptions!B11</f>
        <v>-33059122.579403337</v>
      </c>
      <c r="G12" s="18">
        <f>-(G6-F6)*Assumptions!B11</f>
        <v>-30968743.76289916</v>
      </c>
      <c r="H12" s="18">
        <f>-(H6-G6)*Assumptions!B11</f>
        <v>-28329780.477381743</v>
      </c>
      <c r="I12" s="18">
        <f>-(I6-H6)*Assumptions!B11</f>
        <v>-25163992.504756827</v>
      </c>
      <c r="J12" s="18">
        <f>-(J6-I6)*Assumptions!B11</f>
        <v>-21508877.903326638</v>
      </c>
      <c r="K12" s="18">
        <f>-(K6-J6)*Assumptions!B11</f>
        <v>-17417320.504208207</v>
      </c>
    </row>
    <row r="13" spans="1:11" x14ac:dyDescent="0.25">
      <c r="A13" s="19" t="s">
        <v>56</v>
      </c>
      <c r="B13" s="20">
        <f>B9+B10+B11+B12</f>
        <v>897910430.2664291</v>
      </c>
      <c r="C13" s="20">
        <f>C9+C10+C11+C12</f>
        <v>1005471371.6407605</v>
      </c>
      <c r="D13" s="20">
        <f>D9+D10+D11+D12</f>
        <v>1113423367.3685448</v>
      </c>
      <c r="E13" s="20">
        <f>E9+E10+E11+E12</f>
        <v>1223949310.594854</v>
      </c>
      <c r="F13" s="20">
        <f>F9+F10+F11+F12</f>
        <v>1335625938.670207</v>
      </c>
      <c r="G13" s="20">
        <f>G9+G10+G11+G12</f>
        <v>1446865454.1679196</v>
      </c>
      <c r="H13" s="20">
        <f>H9+H10+H11+H12</f>
        <v>1555947291.4834957</v>
      </c>
      <c r="I13" s="20">
        <f>I9+I10+I11+I12</f>
        <v>1661057774.7182279</v>
      </c>
      <c r="J13" s="20">
        <f>J9+J10+J11+J12</f>
        <v>1760336637.2792814</v>
      </c>
      <c r="K13" s="20">
        <f>K9+K10+K11+K12</f>
        <v>1851928927.9241104</v>
      </c>
    </row>
    <row r="14" spans="1:11" x14ac:dyDescent="0.25">
      <c r="A14" t="s">
        <v>57</v>
      </c>
      <c r="B14" s="21">
        <f>1/(1+Assumptions!$B$26)^(1-0.5*Assumptions!$B$32)</f>
        <v>0.9547951087044916</v>
      </c>
      <c r="C14" s="21">
        <f>1/(1+Assumptions!$B$26)^(2-0.5*Assumptions!$B$32)</f>
        <v>0.8704233973140093</v>
      </c>
      <c r="D14" s="21">
        <f>1/(1+Assumptions!$B$26)^(3-0.5*Assumptions!$B$32)</f>
        <v>0.7935073019170124</v>
      </c>
      <c r="E14" s="21">
        <f>1/(1+Assumptions!$B$26)^(4-0.5*Assumptions!$B$32)</f>
        <v>0.7233879973109985</v>
      </c>
      <c r="F14" s="21">
        <f>1/(1+Assumptions!$B$26)^(5-0.5*Assumptions!$B$32)</f>
        <v>0.6594648762392163</v>
      </c>
      <c r="G14" s="21">
        <f>1/(1+Assumptions!$B$26)^(6-0.5*Assumptions!$B$32)</f>
        <v>0.601190404886184</v>
      </c>
      <c r="H14" s="21">
        <f>1/(1+Assumptions!$B$26)^(7-0.5*Assumptions!$B$32)</f>
        <v>0.5480654329740341</v>
      </c>
      <c r="I14" s="21">
        <f>1/(1+Assumptions!$B$26)^(8-0.5*Assumptions!$B$32)</f>
        <v>0.49963491828829476</v>
      </c>
      <c r="J14" s="21">
        <f>1/(1+Assumptions!$B$26)^(9-0.5*Assumptions!$B$32)</f>
        <v>0.45548402901151047</v>
      </c>
      <c r="K14" s="21">
        <f>1/(1+Assumptions!$B$26)^(10-0.5*Assumptions!$B$32)</f>
        <v>0.41523459047921984</v>
      </c>
    </row>
    <row r="15" spans="1:11" x14ac:dyDescent="0.25">
      <c r="A15" s="19" t="s">
        <v>58</v>
      </c>
      <c r="B15" s="20">
        <f>B13*B14</f>
        <v>857320486.873132</v>
      </c>
      <c r="C15" s="20">
        <f>C13*C14</f>
        <v>875185807.2055277</v>
      </c>
      <c r="D15" s="20">
        <f>D13*D14</f>
        <v>883509572.1319685</v>
      </c>
      <c r="E15" s="20">
        <f>E13*E14</f>
        <v>885390240.6013887</v>
      </c>
      <c r="F15" s="20">
        <f>F13*F14</f>
        <v>880798394.3470353</v>
      </c>
      <c r="G15" s="20">
        <f>G13*G14</f>
        <v>869841628.2070441</v>
      </c>
      <c r="H15" s="20">
        <f>H13*H14</f>
        <v>852760925.9916778</v>
      </c>
      <c r="I15" s="20">
        <f>I13*I14</f>
        <v>829922465.5434785</v>
      </c>
      <c r="J15" s="20">
        <f>J13*J14</f>
        <v>801805223.964541</v>
      </c>
      <c r="K15" s="20">
        <f>K13*K14</f>
        <v>768984949.9831886</v>
      </c>
    </row>
    <row r="17" spans="1:2" x14ac:dyDescent="0.25">
      <c r="A17" s="22" t="s">
        <v>59</v>
      </c>
      <c r="B17" s="23">
        <f>SUM(B15:K15)</f>
        <v>8505519694.848982</v>
      </c>
    </row>
    <row r="19" spans="1:11" x14ac:dyDescent="0.25">
      <c r="A19" t="s">
        <v>7</v>
      </c>
      <c r="B19" s="9">
        <f>Assumptions!$B$10+($B$20-Assumptions!$B$10)*0/9</f>
        <v>0.115269895114305</v>
      </c>
      <c r="C19" s="9">
        <f>Assumptions!$B$10+($B$20-Assumptions!$B$10)*1/9</f>
        <v>0.11076107477462399</v>
      </c>
      <c r="D19" s="9">
        <f>Assumptions!$B$10+($B$20-Assumptions!$B$10)*2/9</f>
        <v>0.10625225443494299</v>
      </c>
      <c r="E19" s="9">
        <f>Assumptions!$B$10+($B$20-Assumptions!$B$10)*3/9</f>
        <v>0.10174343409526197</v>
      </c>
      <c r="F19" s="9">
        <f>Assumptions!$B$10+($B$20-Assumptions!$B$10)*4/9</f>
        <v>0.09723461375558097</v>
      </c>
      <c r="G19" s="9">
        <f>Assumptions!$B$10+($B$20-Assumptions!$B$10)*5/9</f>
        <v>0.09272579341589997</v>
      </c>
      <c r="H19" s="9">
        <f>Assumptions!$B$10+($B$20-Assumptions!$B$10)*6/9</f>
        <v>0.08821697307621897</v>
      </c>
      <c r="I19" s="9">
        <f>Assumptions!$B$10+($B$20-Assumptions!$B$10)*7/9</f>
        <v>0.08370815273653795</v>
      </c>
      <c r="J19" s="9">
        <f>Assumptions!$B$10+($B$20-Assumptions!$B$10)*8/9</f>
        <v>0.07919933239685695</v>
      </c>
      <c r="K19" s="9">
        <f>Assumptions!$B$10+($B$20-Assumptions!$B$10)*9/9</f>
        <v>0.07469051205717595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0.07469051205717595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1851928927.9241104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2044982738.0280077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0.08588653895878687</v>
      </c>
    </row>
    <row r="7" spans="1:2" x14ac:dyDescent="0.25">
      <c r="A7" t="s">
        <v>66</v>
      </c>
      <c r="B7" s="18">
        <f>-MAX(B5,0)*B6</f>
        <v>-175636489.59968913</v>
      </c>
    </row>
    <row r="8" spans="1:2" x14ac:dyDescent="0.25">
      <c r="A8" t="s">
        <v>67</v>
      </c>
      <c r="B8" s="18">
        <f>IF(OR(Assumptions!$B$33=0,Assumptions!B12&lt;=0),B5,MAX(B5+B7,0))</f>
        <v>1869346248.4283185</v>
      </c>
    </row>
    <row r="9" spans="1:2" x14ac:dyDescent="0.25">
      <c r="A9" t="s">
        <v>68</v>
      </c>
      <c r="B9" s="18">
        <f>B8*(1+Assumptions!B12)/(Assumptions!B26-Assumptions!B12)</f>
        <v>26637450473.752148</v>
      </c>
    </row>
    <row r="10" spans="1:2" x14ac:dyDescent="0.25">
      <c r="A10" t="s">
        <v>69</v>
      </c>
      <c r="B10" s="18">
        <f>B9/(1+Assumptions!B26)^(10-0.5*Assumptions!B32)</f>
        <v>11060790838.878973</v>
      </c>
    </row>
    <row r="11" spans="1:2" x14ac:dyDescent="0.25">
      <c r="A11" t="s">
        <v>70</v>
      </c>
      <c r="B11" s="18">
        <f>Forecast!B17+B10</f>
        <v>19566310533.727955</v>
      </c>
    </row>
    <row r="12" spans="1:2" x14ac:dyDescent="0.25">
      <c r="A12" t="s">
        <v>71</v>
      </c>
      <c r="B12" s="18">
        <f>-Assumptions!B30</f>
        <v>80096000</v>
      </c>
    </row>
    <row r="13" spans="1:2" x14ac:dyDescent="0.25">
      <c r="A13" t="s">
        <v>72</v>
      </c>
      <c r="B13" s="18">
        <f>B11+B12</f>
        <v>19646406533.727955</v>
      </c>
    </row>
    <row r="14" spans="1:2" x14ac:dyDescent="0.25">
      <c r="A14" s="19" t="s">
        <v>73</v>
      </c>
      <c r="B14" s="24">
        <f>B13/Assumptions!B31</f>
        <v>92.84778936345313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3124510257.7076273</v>
      </c>
    </row>
    <row r="18" spans="1:2" x14ac:dyDescent="0.25">
      <c r="A18" t="s">
        <v>68</v>
      </c>
      <c r="B18" s="18">
        <f>B17*Assumptions!B13</f>
        <v>62490205154.15254</v>
      </c>
    </row>
    <row r="19" spans="1:2" x14ac:dyDescent="0.25">
      <c r="A19" t="s">
        <v>69</v>
      </c>
      <c r="B19" s="18">
        <f>B18/(1+Assumptions!B26)^(10-0.5*Assumptions!B32)</f>
        <v>25948094746.146965</v>
      </c>
    </row>
    <row r="20" spans="1:2" x14ac:dyDescent="0.25">
      <c r="A20" t="s">
        <v>70</v>
      </c>
      <c r="B20" s="18">
        <f>Forecast!B17+B19</f>
        <v>34453614440.99595</v>
      </c>
    </row>
    <row r="21" spans="1:2" x14ac:dyDescent="0.25">
      <c r="A21" t="s">
        <v>71</v>
      </c>
      <c r="B21" s="18">
        <f>-Assumptions!B30</f>
        <v>80096000</v>
      </c>
    </row>
    <row r="22" spans="1:2" x14ac:dyDescent="0.25">
      <c r="A22" t="s">
        <v>72</v>
      </c>
      <c r="B22" s="18">
        <f>B20+B21</f>
        <v>34533710440.99595</v>
      </c>
    </row>
    <row r="23" spans="1:2" x14ac:dyDescent="0.25">
      <c r="A23" s="19" t="s">
        <v>73</v>
      </c>
      <c r="B23" s="25">
        <f>B22/Assumptions!B31</f>
        <v>163.20433293791032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172.56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92.84778936345313</v>
      </c>
    </row>
    <row r="29" spans="1:2" x14ac:dyDescent="0.25">
      <c r="A29" s="19" t="s">
        <v>81</v>
      </c>
      <c r="B29" s="11">
        <f>B28/B26-1</f>
        <v>-0.46193909733742966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0.076932</v>
      </c>
      <c r="B5" s="31">
        <v>119.63459043572512</v>
      </c>
      <c r="C5" s="31">
        <v>124.63152763319248</v>
      </c>
      <c r="D5" s="31">
        <v>130.6625199092219</v>
      </c>
      <c r="E5" s="31">
        <v>138.0580630061308</v>
      </c>
      <c r="F5" s="31">
        <v>147.3062868083316</v>
      </c>
    </row>
    <row r="6" spans="1:6" x14ac:dyDescent="0.25">
      <c r="A6" s="30">
        <v>0.086932</v>
      </c>
      <c r="B6" s="31">
        <v>101.880455468673</v>
      </c>
      <c r="C6" s="31">
        <v>104.99342548526683</v>
      </c>
      <c r="D6" s="31">
        <v>108.66601225573443</v>
      </c>
      <c r="E6" s="31">
        <v>113.04565924435093</v>
      </c>
      <c r="F6" s="31">
        <v>118.33659319517068</v>
      </c>
    </row>
    <row r="7" spans="1:6" x14ac:dyDescent="0.25">
      <c r="A7" s="30">
        <v>0.096932</v>
      </c>
      <c r="B7" s="31">
        <v>88.53353191397214</v>
      </c>
      <c r="C7" s="31">
        <v>90.52863482055488</v>
      </c>
      <c r="D7" s="32">
        <v>92.84752494443266</v>
      </c>
      <c r="E7" s="31">
        <v>95.56276560747584</v>
      </c>
      <c r="F7" s="31">
        <v>98.77035335569427</v>
      </c>
    </row>
    <row r="8" spans="1:6" x14ac:dyDescent="0.25">
      <c r="A8" s="30">
        <v>0.106932</v>
      </c>
      <c r="B8" s="31">
        <v>78.15078272814479</v>
      </c>
      <c r="C8" s="31">
        <v>79.4474138136163</v>
      </c>
      <c r="D8" s="31">
        <v>80.94091341169135</v>
      </c>
      <c r="E8" s="31">
        <v>82.66966642967849</v>
      </c>
      <c r="F8" s="31">
        <v>84.68273032877264</v>
      </c>
    </row>
    <row r="9" spans="1:6" x14ac:dyDescent="0.25">
      <c r="A9" s="30">
        <v>0.116932</v>
      </c>
      <c r="B9" s="31">
        <v>69.85581826987539</v>
      </c>
      <c r="C9" s="31">
        <v>70.69891643317712</v>
      </c>
      <c r="D9" s="31">
        <v>71.66634698008441</v>
      </c>
      <c r="E9" s="31">
        <v>72.77956329662409</v>
      </c>
      <c r="F9" s="31">
        <v>74.0652556447754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5496389000</v>
      </c>
      <c r="C5" s="18">
        <v>5814810000</v>
      </c>
      <c r="D5" s="18">
        <v>5866152000</v>
      </c>
      <c r="E5" s="18">
        <v>6260077000</v>
      </c>
      <c r="F5" s="6" t="s">
        <v>91</v>
      </c>
    </row>
    <row r="6" spans="1:6" x14ac:dyDescent="0.25">
      <c r="A6" t="s">
        <v>51</v>
      </c>
      <c r="B6" s="18">
        <v>1361045000</v>
      </c>
      <c r="C6" s="18">
        <v>1543998000</v>
      </c>
      <c r="D6" s="18">
        <v>1640673000</v>
      </c>
      <c r="E6" s="18">
        <v>1840632000</v>
      </c>
      <c r="F6" s="6" t="s">
        <v>92</v>
      </c>
    </row>
    <row r="7" spans="1:6" x14ac:dyDescent="0.25">
      <c r="A7" t="s">
        <v>93</v>
      </c>
      <c r="B7" s="18">
        <v>364691000</v>
      </c>
      <c r="C7" s="18">
        <v>344578000</v>
      </c>
      <c r="D7" s="18">
        <v>324449000</v>
      </c>
      <c r="E7" s="18">
        <v>276066000</v>
      </c>
      <c r="F7" s="6" t="s">
        <v>94</v>
      </c>
    </row>
    <row r="8" spans="1:6" x14ac:dyDescent="0.25">
      <c r="A8" t="s">
        <v>95</v>
      </c>
      <c r="B8" s="18">
        <v>415034000</v>
      </c>
      <c r="C8" s="18">
        <v>771318000</v>
      </c>
      <c r="D8" s="18">
        <v>757309000</v>
      </c>
      <c r="E8" s="18">
        <v>775148000</v>
      </c>
      <c r="F8" s="6" t="s">
        <v>96</v>
      </c>
    </row>
    <row r="9" spans="1:6" x14ac:dyDescent="0.25">
      <c r="A9" t="s">
        <v>97</v>
      </c>
      <c r="B9" s="18">
        <v>40458000</v>
      </c>
      <c r="C9" s="18">
        <v>-84158000</v>
      </c>
      <c r="D9" s="18">
        <v>55347000</v>
      </c>
      <c r="E9" s="18">
        <v>52777000</v>
      </c>
      <c r="F9" s="6" t="s">
        <v>98</v>
      </c>
    </row>
    <row r="10" spans="1:6" x14ac:dyDescent="0.25">
      <c r="A10" t="s">
        <v>99</v>
      </c>
      <c r="B10" s="18">
        <v>39995000</v>
      </c>
      <c r="C10" s="18">
        <v>59987000</v>
      </c>
      <c r="D10" s="18">
        <v>79977000</v>
      </c>
      <c r="E10" s="18">
        <v>99963000</v>
      </c>
      <c r="F10" s="6" t="s">
        <v>100</v>
      </c>
    </row>
    <row r="11" spans="1:6" x14ac:dyDescent="0.25">
      <c r="A11" t="s">
        <v>101</v>
      </c>
      <c r="B11" s="18">
        <v>120091000</v>
      </c>
      <c r="C11" s="18">
        <v>108676000</v>
      </c>
      <c r="D11" s="18">
        <v>433799000</v>
      </c>
      <c r="E11" s="18">
        <v>235667000</v>
      </c>
      <c r="F11" s="6" t="s">
        <v>102</v>
      </c>
    </row>
    <row r="12" spans="1:6" x14ac:dyDescent="0.25">
      <c r="A12" t="s">
        <v>34</v>
      </c>
      <c r="B12" s="34">
        <v>211598000</v>
      </c>
      <c r="C12" s="34">
        <v>216485000</v>
      </c>
      <c r="D12" s="34">
        <v>220180000</v>
      </c>
      <c r="E12" s="34">
        <v>226156000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7" ht="38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