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<sst xmlns="http://schemas.openxmlformats.org/spreadsheetml/2006/main" count="113" uniqueCount="101">
  <si>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Old Dominion Freight Line, Inc. (ODFL)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</si>
  <si>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</si>
  <si>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</si>
  <si>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</si>
  <si>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</si>
  <si>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</si>
  <si>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</si>
  <si>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</si>
  <si>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</si>
  <si>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</si>
  <si>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</si>
  <si>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</si>
  <si>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</si>
  <si>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</si>
  <si>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</si>
  <si>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</si>
  <si>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</si>
  <si>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</si>
  <si>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</si>
  <si>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</si>
  <si>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</si>
  <si>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</si>
  <si>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</si>
  <si>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</si>
  <si>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</si>
  <si>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</si>
  <si>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</si>
  <si>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</si>
  <si>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</si>
  <si>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</si>
  <si>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</si>
  <si>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</si>
  <si>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</si>
  <si>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</si>
  <si>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</si>
  <si>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</si>
  <si>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</si>
  <si>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</si>
  <si>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</si>
  <si>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</si>
  <si>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</si>
  <si>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</si>
  <si>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</si>
  <si>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</si>
  <si>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</si>
  <si>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</si>
  <si>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</si>
  <si>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</si>
  <si>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</si>
  <si>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</si>
  <si>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</si>
  <si>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</si>
  <si>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</si>
  <si>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</si>
  <si>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</si>
  <si>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</si>
  <si>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</si>
  <si>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</si>
  <si>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</si>
  <si>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</si>
  <si>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</si>
  <si>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</si>
  <si>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</si>
  <si>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</si>
  <si>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</si>
  <si>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</si>
  <si>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</si>
  <si>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</si>
  <si>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</si>
  <si>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</si>
  <si>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</si>
  <si>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</si>
  <si>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</si>
  <si>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</si>
  <si>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</si>
  <si>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</si>
  <si>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</si>
  <si>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</si>
  <si>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</si>
  <si>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</si>
  <si>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</si>
  <si>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</si>
  <si>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</si>
  <si>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</si>
  <si>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</si>
  <si>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</si>
  <si>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</si>
  <si>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</si>
  <si>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</si>
  <si>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</si>
  <si>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</si>
  <si>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</si>
  <si>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</si>
  <si>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</si>
  <si>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</si>
  <si>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</si>
  <si>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</si>
  <si>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</si>
  <si>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11.5% of revenue against depreciation of 5.6%. A perpetuity has to be a steady state, so the terminal year uses maintenance capex at depreciation and then charges the reinvestment terminal growth requires (g/ROIC of NOPAT). The bridge is shown under Terminal Value.</t>
  </si>
  <si>
    <t>Current EV/EBITDA of 20.8x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</si>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</sst>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-0.042440148127076416</v>
      </c>
    </row>
    <row r="7" spans="1:2" x14ac:dyDescent="0.25">
      <c r="A7" t="s">
        <v>5</v>
      </c>
      <c r="B7" s="6">
        <v>0.2717164009018655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0.05625445486825441</v>
      </c>
    </row>
    <row r="10" spans="1:2" x14ac:dyDescent="0.25">
      <c r="A10" t="s">
        <v>8</v>
      </c>
      <c r="B10" s="6">
        <v>0.115269895114305</v>
      </c>
    </row>
    <row r="11" spans="1:2" x14ac:dyDescent="0.25">
      <c r="A11" t="s">
        <v>9</v>
      </c>
      <c r="B11" s="6">
        <v>-0.12705820281953767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0.29108170271008815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1.11055</v>
      </c>
      <c r="C19" s="8" t="s">
        <v>19</v>
      </c>
    </row>
    <row r="20" spans="1:2" x14ac:dyDescent="0.25">
      <c r="A20" t="s">
        <v>20</v>
      </c>
      <c r="B20" s="10">
        <f>B17+B19*B18</f>
        <v>0.11106025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35978514432</v>
      </c>
    </row>
    <row r="23" spans="1:2" x14ac:dyDescent="0.25">
      <c r="A23" t="s">
        <v>24</v>
      </c>
      <c r="B23" s="11">
        <v>39995000</v>
      </c>
    </row>
    <row r="24" spans="1:2" x14ac:dyDescent="0.25">
      <c r="A24" t="s">
        <v>25</v>
      </c>
      <c r="B24" s="10">
        <f>B22/(B22+B23)</f>
        <v>0.9988895986915975</v>
      </c>
    </row>
    <row r="25" spans="1:2" x14ac:dyDescent="0.25">
      <c r="A25" t="s">
        <v>26</v>
      </c>
      <c r="B25" s="10">
        <f>1-B24</f>
        <v>0.0011104013084024533</v>
      </c>
    </row>
    <row r="26" spans="1:2" x14ac:dyDescent="0.25">
      <c r="A26" t="s">
        <v>27</v>
      </c>
      <c r="B26" s="12">
        <f>B24*B20+B25*B21*(1-B8)</f>
        <v>0.11098077186042972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5496389000</v>
      </c>
      <c r="C29" s="8" t="s">
        <v>30</v>
      </c>
    </row>
    <row r="30" spans="1:2" x14ac:dyDescent="0.25">
      <c r="A30" t="s">
        <v>31</v>
      </c>
      <c r="B30" s="11">
        <v>-80096000</v>
      </c>
    </row>
    <row r="31" spans="1:2" x14ac:dyDescent="0.25">
      <c r="A31" t="s">
        <v>32</v>
      </c>
      <c r="B31" s="13">
        <v>211598000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-0.042440148127076416</v>
      </c>
      <c r="C5" s="10">
        <f>Assumptions!B6</f>
        <v>-0.042440148127076416</v>
      </c>
      <c r="D5" s="10">
        <f>Assumptions!B6</f>
        <v>-0.042440148127076416</v>
      </c>
      <c r="E5" s="10">
        <f>Assumptions!B6</f>
        <v>-0.042440148127076416</v>
      </c>
      <c r="F5" s="10">
        <f>Assumptions!B6</f>
        <v>-0.042440148127076416</v>
      </c>
    </row>
    <row r="6" spans="1:6" x14ac:dyDescent="0.25">
      <c r="A6" t="s">
        <v>43</v>
      </c>
      <c r="B6" s="18">
        <f>Assumptions!B29*(1+B5)</f>
        <v>5263121436.675966</v>
      </c>
      <c r="C6" s="18">
        <f>B6*(1+C5)</f>
        <v>5039753783.292647</v>
      </c>
      <c r="D6" s="18">
        <f>C6*(1+D5)</f>
        <v>4825865886.205713</v>
      </c>
      <c r="E6" s="18">
        <f>D6*(1+E5)</f>
        <v>4621055423.153738</v>
      </c>
      <c r="F6" s="18">
        <f>E6*(1+F5)</f>
        <v>4424937146.491664</v>
      </c>
    </row>
    <row r="7" spans="1:6" x14ac:dyDescent="0.25">
      <c r="A7" t="s">
        <v>5</v>
      </c>
      <c r="B7" s="10">
        <f>Assumptions!B7</f>
        <v>0.2717164009018655</v>
      </c>
      <c r="C7" s="10">
        <f>Assumptions!B7</f>
        <v>0.2717164009018655</v>
      </c>
      <c r="D7" s="10">
        <f>Assumptions!B7</f>
        <v>0.2717164009018655</v>
      </c>
      <c r="E7" s="10">
        <f>Assumptions!B7</f>
        <v>0.2717164009018655</v>
      </c>
      <c r="F7" s="10">
        <f>Assumptions!B7</f>
        <v>0.2717164009018655</v>
      </c>
    </row>
    <row r="8" spans="1:6" x14ac:dyDescent="0.25">
      <c r="A8" t="s">
        <v>44</v>
      </c>
      <c r="B8" s="18">
        <f>B6*B7</f>
        <v>1430076414.283049</v>
      </c>
      <c r="C8" s="18">
        <f>C6*C7</f>
        <v>1369383759.4278383</v>
      </c>
      <c r="D8" s="18">
        <f>D6*D7</f>
        <v>1311266909.834908</v>
      </c>
      <c r="E8" s="18">
        <f>E6*E7</f>
        <v>1255616547.9473808</v>
      </c>
      <c r="F8" s="18">
        <f>F6*F7</f>
        <v>1202327995.6616857</v>
      </c>
    </row>
    <row r="9" spans="1:6" x14ac:dyDescent="0.25">
      <c r="A9" t="s">
        <v>45</v>
      </c>
      <c r="B9" s="18">
        <f>B8*(1-Assumptions!B8)</f>
        <v>1129760367.283609</v>
      </c>
      <c r="C9" s="18">
        <f>C8*(1-Assumptions!B8)</f>
        <v>1081813169.9479923</v>
      </c>
      <c r="D9" s="18">
        <f>D8*(1-Assumptions!B8)</f>
        <v>1035900858.7695774</v>
      </c>
      <c r="E9" s="18">
        <f>E8*(1-Assumptions!B8)</f>
        <v>991937072.8784308</v>
      </c>
      <c r="F9" s="18">
        <f>F8*(1-Assumptions!B8)</f>
        <v>949839116.5727317</v>
      </c>
    </row>
    <row r="10" spans="1:6" x14ac:dyDescent="0.25">
      <c r="A10" t="s">
        <v>46</v>
      </c>
      <c r="B10" s="18">
        <f>B6*Assumptions!B9</f>
        <v>296074027.3256304</v>
      </c>
      <c r="C10" s="18">
        <f>C6*Assumptions!B9</f>
        <v>283508601.74935067</v>
      </c>
      <c r="D10" s="18">
        <f>D6*Assumptions!B9</f>
        <v>271476454.6958079</v>
      </c>
      <c r="E10" s="18">
        <f>E6*Assumptions!B9</f>
        <v>259954953.74550423</v>
      </c>
      <c r="F10" s="18">
        <f>F6*Assumptions!B9</f>
        <v>248922427.00217775</v>
      </c>
    </row>
    <row r="11" spans="1:6" x14ac:dyDescent="0.25">
      <c r="A11" t="s">
        <v>47</v>
      </c>
      <c r="B11" s="18">
        <f>-B6*Assumptions!B10</f>
        <v>-606679455.9794888</v>
      </c>
      <c r="C11" s="18">
        <f>-C6*Assumptions!B10</f>
        <v>-580931890.0020652</v>
      </c>
      <c r="D11" s="18">
        <f>-D6*Assumptions!B10</f>
        <v>-556277054.5386351</v>
      </c>
      <c r="E11" s="18">
        <f>-E6*Assumptions!B10</f>
        <v>-532668573.94432163</v>
      </c>
      <c r="F11" s="18">
        <f>-F6*Assumptions!B10</f>
        <v>-510062040.76348615</v>
      </c>
    </row>
    <row r="12" spans="1:6" x14ac:dyDescent="0.25">
      <c r="A12" t="s">
        <v>48</v>
      </c>
      <c r="B12" s="18">
        <f>-(B6-Assumptions!B29)*Assumptions!B11</f>
        <v>-29638557.372044425</v>
      </c>
      <c r="C12" s="18">
        <f>-(C6-B6)*Assumptions!B11</f>
        <v>-28380692.60690192</v>
      </c>
      <c r="D12" s="18">
        <f>-(D6-C6)*Assumptions!B11</f>
        <v>-27176211.80871607</v>
      </c>
      <c r="E12" s="18">
        <f>-(E6-D6)*Assumptions!B11</f>
        <v>-26022849.354021296</v>
      </c>
      <c r="F12" s="18">
        <f>-(F6-E6)*Assumptions!B11</f>
        <v>-24918435.772748012</v>
      </c>
    </row>
    <row r="13" spans="1:6" x14ac:dyDescent="0.25">
      <c r="A13" s="19" t="s">
        <v>49</v>
      </c>
      <c r="B13" s="20">
        <f>B9+B10+B11+B12</f>
        <v>789516381.257706</v>
      </c>
      <c r="C13" s="20">
        <f>C9+C10+C11+C12</f>
        <v>756009189.0883758</v>
      </c>
      <c r="D13" s="20">
        <f>D9+D10+D11+D12</f>
        <v>723924047.118034</v>
      </c>
      <c r="E13" s="20">
        <f>E9+E10+E11+E12</f>
        <v>693200603.325592</v>
      </c>
      <c r="F13" s="20">
        <f>F9+F10+F11+F12</f>
        <v>663781067.0386753</v>
      </c>
    </row>
    <row r="14" spans="1:6" x14ac:dyDescent="0.25">
      <c r="A14" t="s">
        <v>50</v>
      </c>
      <c r="B14" s="21">
        <f>1/(1+Assumptions!$B$26)^(1-0.5*Assumptions!$B$32)</f>
        <v>0.948738945747981</v>
      </c>
      <c r="C14" s="21">
        <f>1/(1+Assumptions!$B$26)^(2-0.5*Assumptions!$B$32)</f>
        <v>0.8539652258420627</v>
      </c>
      <c r="D14" s="21">
        <f>1/(1+Assumptions!$B$26)^(3-0.5*Assumptions!$B$32)</f>
        <v>0.768658871037009</v>
      </c>
      <c r="E14" s="21">
        <f>1/(1+Assumptions!$B$26)^(4-0.5*Assumptions!$B$32)</f>
        <v>0.6918741444551069</v>
      </c>
      <c r="F14" s="21">
        <f>1/(1+Assumptions!$B$26)^(5-0.5*Assumptions!$B$32)</f>
        <v>0.6227597830487256</v>
      </c>
    </row>
    <row r="15" spans="1:6" x14ac:dyDescent="0.25">
      <c r="A15" s="19" t="s">
        <v>51</v>
      </c>
      <c r="B15" s="20">
        <f>B13*B14</f>
        <v>749044939.2051971</v>
      </c>
      <c r="C15" s="20">
        <f>C13*C14</f>
        <v>645605557.8985295</v>
      </c>
      <c r="D15" s="20">
        <f>D13*D14</f>
        <v>556450640.7742906</v>
      </c>
      <c r="E15" s="20">
        <f>E13*E14</f>
        <v>479607574.3616579</v>
      </c>
      <c r="F15" s="20">
        <f>F13*F14</f>
        <v>413376153.300857</v>
      </c>
    </row>
    <row r="17" spans="1:2" x14ac:dyDescent="0.25">
      <c r="A17" s="22" t="s">
        <v>52</v>
      </c>
      <c r="B17" s="23">
        <f>SUM(B15:F15)</f>
        <v>2844084865.540532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663781067.0386753</v>
      </c>
    </row>
    <row r="5" spans="1:2" x14ac:dyDescent="0.25">
      <c r="A5" t="s">
        <v>56</v>
      </c>
      <c r="B5" s="18">
        <f>IF(Assumptions!$B$33=0,B4,B4-Forecast!F11-Forecast!F10-Forecast!F12)</f>
        <v>949839116.5727317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0.08588653895878687</v>
      </c>
    </row>
    <row r="7" spans="1:2" x14ac:dyDescent="0.25">
      <c r="A7" t="s">
        <v>58</v>
      </c>
      <c r="B7" s="18">
        <f>-MAX(Forecast!F9,0)*B6</f>
        <v>-81578394.29010363</v>
      </c>
    </row>
    <row r="8" spans="1:2" x14ac:dyDescent="0.25">
      <c r="A8" t="s">
        <v>59</v>
      </c>
      <c r="B8" s="18">
        <f>IF(OR(Assumptions!$B$33=0,Assumptions!B12&lt;=0),B5,MAX(B5+B7,0))</f>
        <v>868260722.282628</v>
      </c>
    </row>
    <row r="9" spans="1:2" x14ac:dyDescent="0.25">
      <c r="A9" t="s">
        <v>60</v>
      </c>
      <c r="B9" s="18">
        <f>B8*(1+Assumptions!B12)/(Assumptions!B26-Assumptions!B12)</f>
        <v>10350770539.538233</v>
      </c>
    </row>
    <row r="10" spans="1:2" x14ac:dyDescent="0.25">
      <c r="A10" t="s">
        <v>61</v>
      </c>
      <c r="B10" s="18">
        <f>B9/(1+Assumptions!B26)^(5-0.5*Assumptions!B32)</f>
        <v>6446043615.589971</v>
      </c>
    </row>
    <row r="11" spans="1:2" x14ac:dyDescent="0.25">
      <c r="A11" t="s">
        <v>62</v>
      </c>
      <c r="B11" s="18">
        <f>Forecast!B17+B10</f>
        <v>9290128481.130503</v>
      </c>
    </row>
    <row r="12" spans="1:2" x14ac:dyDescent="0.25">
      <c r="A12" t="s">
        <v>63</v>
      </c>
      <c r="B12" s="18">
        <f>-Assumptions!B30</f>
        <v>80096000</v>
      </c>
    </row>
    <row r="13" spans="1:2" x14ac:dyDescent="0.25">
      <c r="A13" t="s">
        <v>64</v>
      </c>
      <c r="B13" s="18">
        <f>B11+B12</f>
        <v>9370224481.130503</v>
      </c>
    </row>
    <row r="14" spans="1:2" x14ac:dyDescent="0.25">
      <c r="A14" s="19" t="s">
        <v>65</v>
      </c>
      <c r="B14" s="24">
        <f>B13/Assumptions!B31</f>
        <v>44.28314294620225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1451250422.6638634</v>
      </c>
    </row>
    <row r="18" spans="1:2" x14ac:dyDescent="0.25">
      <c r="A18" t="s">
        <v>60</v>
      </c>
      <c r="B18" s="18">
        <f>B17*Assumptions!B13</f>
        <v>29025008453.277267</v>
      </c>
    </row>
    <row r="19" spans="1:2" x14ac:dyDescent="0.25">
      <c r="A19" t="s">
        <v>61</v>
      </c>
      <c r="B19" s="18">
        <f>B18/(1+Assumptions!B26)^(5-0.5*Assumptions!B32)</f>
        <v>18075607967.350376</v>
      </c>
    </row>
    <row r="20" spans="1:2" x14ac:dyDescent="0.25">
      <c r="A20" t="s">
        <v>62</v>
      </c>
      <c r="B20" s="18">
        <f>Forecast!B17+B19</f>
        <v>20919692832.890907</v>
      </c>
    </row>
    <row r="21" spans="1:2" x14ac:dyDescent="0.25">
      <c r="A21" t="s">
        <v>63</v>
      </c>
      <c r="B21" s="18">
        <f>-Assumptions!B30</f>
        <v>80096000</v>
      </c>
    </row>
    <row r="22" spans="1:2" x14ac:dyDescent="0.25">
      <c r="A22" t="s">
        <v>64</v>
      </c>
      <c r="B22" s="18">
        <f>B20+B21</f>
        <v>20999788832.890907</v>
      </c>
    </row>
    <row r="23" spans="1:2" x14ac:dyDescent="0.25">
      <c r="A23" s="19" t="s">
        <v>65</v>
      </c>
      <c r="B23" s="25">
        <f>B22/Assumptions!B31</f>
        <v>99.24379641060364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44.28314294620225</v>
      </c>
    </row>
    <row r="29" spans="1:2" x14ac:dyDescent="0.25">
      <c r="A29" s="19" t="s">
        <v>73</v>
      </c>
      <c r="B29" s="12">
        <f>B28/B26-1</f>
        <v>-0.7440280754554783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0.090981</v>
      </c>
      <c r="B5" s="31">
        <v>52.810070803095584</v>
      </c>
      <c r="C5" s="31">
        <v>54.97146360103545</v>
      </c>
      <c r="D5" s="31">
        <v>57.45253681863219</v>
      </c>
      <c r="E5" s="31">
        <v>60.33192488783765</v>
      </c>
      <c r="F5" s="31">
        <v>63.71635549794159</v>
      </c>
    </row>
    <row r="6" spans="1:6" x14ac:dyDescent="0.25">
      <c r="A6" s="30">
        <v>0.100981</v>
      </c>
      <c r="B6" s="31">
        <v>46.691178966801075</v>
      </c>
      <c r="C6" s="31">
        <v>48.24454974570696</v>
      </c>
      <c r="D6" s="31">
        <v>49.99578020125497</v>
      </c>
      <c r="E6" s="31">
        <v>51.98668286284921</v>
      </c>
      <c r="F6" s="31">
        <v>54.27174437195756</v>
      </c>
    </row>
    <row r="7" spans="1:6" x14ac:dyDescent="0.25">
      <c r="A7" s="30">
        <v>0.110981</v>
      </c>
      <c r="B7" s="31">
        <v>41.85848020573359</v>
      </c>
      <c r="C7" s="31">
        <v>43.00677063998566</v>
      </c>
      <c r="D7" s="32">
        <v>44.28302787666563</v>
      </c>
      <c r="E7" s="31">
        <v>45.71095503176886</v>
      </c>
      <c r="F7" s="31">
        <v>47.32049444320018</v>
      </c>
    </row>
    <row r="8" spans="1:6" x14ac:dyDescent="0.25">
      <c r="A8" s="30">
        <v>0.120981</v>
      </c>
      <c r="B8" s="31">
        <v>37.94723176039606</v>
      </c>
      <c r="C8" s="31">
        <v>38.81510007000481</v>
      </c>
      <c r="D8" s="31">
        <v>39.76858397211068</v>
      </c>
      <c r="E8" s="31">
        <v>40.8217988741884</v>
      </c>
      <c r="F8" s="31">
        <v>41.992143562011286</v>
      </c>
    </row>
    <row r="9" spans="1:6" x14ac:dyDescent="0.25">
      <c r="A9" s="30">
        <v>0.130981</v>
      </c>
      <c r="B9" s="31">
        <v>34.71852638665635</v>
      </c>
      <c r="C9" s="31">
        <v>35.386227801227434</v>
      </c>
      <c r="D9" s="31">
        <v>36.11274985651099</v>
      </c>
      <c r="E9" s="31">
        <v>36.906829934892684</v>
      </c>
      <c r="F9" s="31">
        <v>37.77902606709184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5496389000</v>
      </c>
      <c r="C5" s="18">
        <v>5814810000</v>
      </c>
      <c r="D5" s="18">
        <v>5866152000</v>
      </c>
      <c r="E5" s="18">
        <v>6260077000</v>
      </c>
      <c r="F5" s="8" t="s">
        <v>84</v>
      </c>
    </row>
    <row r="6" spans="1:6" x14ac:dyDescent="0.25">
      <c r="A6" t="s">
        <v>44</v>
      </c>
      <c r="B6" s="18">
        <v>1361045000</v>
      </c>
      <c r="C6" s="18">
        <v>1543998000</v>
      </c>
      <c r="D6" s="18">
        <v>1640673000</v>
      </c>
      <c r="E6" s="18">
        <v>1840632000</v>
      </c>
      <c r="F6" s="8" t="s">
        <v>85</v>
      </c>
    </row>
    <row r="7" spans="1:6" x14ac:dyDescent="0.25">
      <c r="A7" t="s">
        <v>86</v>
      </c>
      <c r="B7" s="18">
        <v>364691000</v>
      </c>
      <c r="C7" s="18">
        <v>344578000</v>
      </c>
      <c r="D7" s="18">
        <v>324449000</v>
      </c>
      <c r="E7" s="18">
        <v>276066000</v>
      </c>
      <c r="F7" s="8" t="s">
        <v>87</v>
      </c>
    </row>
    <row r="8" spans="1:6" x14ac:dyDescent="0.25">
      <c r="A8" t="s">
        <v>88</v>
      </c>
      <c r="B8" s="18">
        <v>415034000</v>
      </c>
      <c r="C8" s="18">
        <v>771318000</v>
      </c>
      <c r="D8" s="18">
        <v>757309000</v>
      </c>
      <c r="E8" s="18">
        <v>775148000</v>
      </c>
      <c r="F8" s="8" t="s">
        <v>89</v>
      </c>
    </row>
    <row r="9" spans="1:6" x14ac:dyDescent="0.25">
      <c r="A9" t="s">
        <v>90</v>
      </c>
      <c r="B9" s="18">
        <v>40458000</v>
      </c>
      <c r="C9" s="18">
        <v>-84158000</v>
      </c>
      <c r="D9" s="18">
        <v>55347000</v>
      </c>
      <c r="E9" s="18">
        <v>52777000</v>
      </c>
      <c r="F9" s="8" t="s">
        <v>91</v>
      </c>
    </row>
    <row r="10" spans="1:6" x14ac:dyDescent="0.25">
      <c r="A10" t="s">
        <v>92</v>
      </c>
      <c r="B10" s="18">
        <v>39995000</v>
      </c>
      <c r="C10" s="18">
        <v>59987000</v>
      </c>
      <c r="D10" s="18">
        <v>79977000</v>
      </c>
      <c r="E10" s="18">
        <v>99963000</v>
      </c>
      <c r="F10" s="8" t="s">
        <v>93</v>
      </c>
    </row>
    <row r="11" spans="1:6" x14ac:dyDescent="0.25">
      <c r="A11" t="s">
        <v>94</v>
      </c>
      <c r="B11" s="18">
        <v>120091000</v>
      </c>
      <c r="C11" s="18">
        <v>108676000</v>
      </c>
      <c r="D11" s="18">
        <v>433799000</v>
      </c>
      <c r="E11" s="18">
        <v>235667000</v>
      </c>
      <c r="F11" s="8" t="s">
        <v>95</v>
      </c>
    </row>
    <row r="12" spans="1:6" x14ac:dyDescent="0.25">
      <c r="A12" t="s">
        <v>32</v>
      </c>
      <c r="B12" s="34">
        <v>211598000</v>
      </c>
      <c r="C12" s="34">
        <v>216485000</v>
      </c>
      <c r="D12" s="34">
        <v>220180000</v>
      </c>
      <c r="E12" s="34">
        <v>226156000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2026-09-19T00:07:10Z</dcterms:modified>
</cp:coreProperties>
</file>