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<sst xmlns="http://schemas.openxmlformats.org/spreadsheetml/2006/main" count="120" uniqueCount="107">
  <si>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ONEOK, Inc. (OKE)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</si>
  <si>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</si>
  <si>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</si>
  <si>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</si>
  <si>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</si>
  <si>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</si>
  <si>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</si>
  <si>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</si>
  <si>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</si>
  <si>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</si>
  <si>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</si>
  <si>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</si>
  <si>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</si>
  <si>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</si>
  <si>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</si>
  <si>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</si>
  <si>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</si>
  <si>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</si>
  <si>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</si>
  <si>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</si>
  <si>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</si>
  <si>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</si>
  <si>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</si>
  <si>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</si>
  <si>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3.3x interest cover. Book interest / average debt was lower, at 5.5%.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</si>
  <si>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</si>
  <si>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</si>
  <si>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</si>
  <si>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</si>
  <si>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</si>
  <si>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</si>
  <si>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</si>
  <si>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</si>
  <si>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</si>
  <si>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</si>
  <si>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</si>
  <si>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</si>
  <si>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</si>
  <si>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</si>
  <si>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</si>
  <si>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</si>
  <si>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</si>
  <si>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</si>
  <si>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</si>
  <si>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</si>
  <si>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</si>
  <si>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</si>
  <si>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</si>
  <si>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</si>
  <si>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</si>
  <si>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</si>
  <si>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</si>
  <si>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</si>
  <si>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</si>
  <si>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</si>
  <si>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</si>
  <si>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</si>
  <si>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</si>
  <si>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</si>
  <si>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</si>
  <si>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</si>
  <si>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</si>
  <si>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</si>
  <si>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</si>
  <si>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</si>
  <si>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</si>
  <si>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</si>
  <si>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</si>
  <si>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</si>
  <si>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</si>
  <si>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</si>
  <si>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</si>
  <si>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</si>
  <si>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</si>
  <si>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</si>
  <si>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</si>
  <si>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</si>
  <si>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</si>
  <si>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</si>
  <si>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</si>
  <si>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</si>
  <si>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</si>
  <si>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</si>
  <si>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</si>
  <si>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</si>
  <si>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</si>
  <si>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</si>
  <si>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</si>
  <si>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</si>
  <si>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</si>
  <si>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</si>
  <si>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</si>
  <si>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</si>
  <si>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</si>
  <si>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</si>
  <si>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</si>
  <si>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</si>
  <si>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</si>
  <si>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</si>
  <si>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</si>
  <si>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</si>
  <si>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</si>
  <si>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</si>
  <si>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</si>
  <si>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</si>
  <si>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8.3% of revenue against depreciation of 4.2%.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</si>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</sst>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0.32246846501531423</v>
      </c>
    </row>
    <row r="7" spans="1:2" x14ac:dyDescent="0.25">
      <c r="A7" t="s">
        <v>4</v>
      </c>
      <c r="B7" s="5">
        <v>0.1927742609680891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0.04218726544418378</v>
      </c>
    </row>
    <row r="10" spans="1:3" x14ac:dyDescent="0.25">
      <c r="A10" t="s">
        <v>7</v>
      </c>
      <c r="B10" s="5">
        <v>0.0826982424011667</v>
      </c>
      <c r="C10" s="6" t="s">
        <v>8</v>
      </c>
    </row>
    <row r="11" spans="1:2" x14ac:dyDescent="0.25">
      <c r="A11" t="s">
        <v>9</v>
      </c>
      <c r="B11" s="5">
        <v>0.03727980229199801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12.804774263904035</v>
      </c>
    </row>
    <row r="14" spans="1:3" x14ac:dyDescent="0.25">
      <c r="A14" t="s">
        <v>12</v>
      </c>
      <c r="B14" s="5">
        <v>0.08538066883180602</v>
      </c>
      <c r="C14" s="6" t="s">
        <v>13</v>
      </c>
    </row>
    <row r="15" spans="1:3" x14ac:dyDescent="0.25">
      <c r="A15" t="s">
        <v>14</v>
      </c>
      <c r="B15" s="5">
        <v>0.04218726544418378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0.86466</v>
      </c>
      <c r="C19" s="6" t="s">
        <v>21</v>
      </c>
    </row>
    <row r="20" spans="1:2" x14ac:dyDescent="0.25">
      <c r="A20" t="s">
        <v>22</v>
      </c>
      <c r="B20" s="9">
        <f>B17+B19*B18</f>
        <v>0.085515118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61197824000</v>
      </c>
    </row>
    <row r="23" spans="1:2" x14ac:dyDescent="0.25">
      <c r="A23" t="s">
        <v>26</v>
      </c>
      <c r="B23" s="10">
        <v>32816000000</v>
      </c>
    </row>
    <row r="24" spans="1:2" x14ac:dyDescent="0.25">
      <c r="A24" t="s">
        <v>27</v>
      </c>
      <c r="B24" s="9">
        <f>B22/(B22+B23)</f>
        <v>0.6509449503936783</v>
      </c>
    </row>
    <row r="25" spans="1:2" x14ac:dyDescent="0.25">
      <c r="A25" t="s">
        <v>28</v>
      </c>
      <c r="B25" s="9">
        <f>1-B24</f>
        <v>0.3490550496063217</v>
      </c>
    </row>
    <row r="26" spans="1:2" x14ac:dyDescent="0.25">
      <c r="A26" t="s">
        <v>29</v>
      </c>
      <c r="B26" s="11">
        <f>B24*B20+B25*B21*(1-B8)</f>
        <v>0.07161521605911098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33629000000</v>
      </c>
      <c r="C29" s="6" t="s">
        <v>32</v>
      </c>
    </row>
    <row r="30" spans="1:2" x14ac:dyDescent="0.25">
      <c r="A30" t="s">
        <v>33</v>
      </c>
      <c r="B30" s="10">
        <v>32738000000</v>
      </c>
    </row>
    <row r="31" spans="1:2" x14ac:dyDescent="0.25">
      <c r="A31" t="s">
        <v>34</v>
      </c>
      <c r="B31" s="12">
        <v>625900000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0.32246846501531423</v>
      </c>
      <c r="C5" s="5">
        <v>-0.039028864551104325</v>
      </c>
      <c r="D5" s="5">
        <v>-0.031025256482216285</v>
      </c>
      <c r="E5" s="5">
        <v>-0.023021648413328245</v>
      </c>
      <c r="F5" s="5">
        <v>-0.015018040344440205</v>
      </c>
      <c r="G5" s="5">
        <v>-0.007014432275552165</v>
      </c>
      <c r="H5" s="5">
        <v>0.000989175793335878</v>
      </c>
      <c r="I5" s="5">
        <v>0.008992783862223915</v>
      </c>
      <c r="J5" s="5">
        <v>0.01699639193111195</v>
      </c>
      <c r="K5" s="5">
        <v>0.024999999999999994</v>
      </c>
    </row>
    <row r="6" spans="1:11" x14ac:dyDescent="0.25">
      <c r="A6" t="s">
        <v>50</v>
      </c>
      <c r="B6" s="18">
        <f>Assumptions!B29*(1+B5)</f>
        <v>44473292010</v>
      </c>
      <c r="C6" s="18">
        <f>B6*(1+C5)</f>
        <v>42737549920</v>
      </c>
      <c r="D6" s="18">
        <f>C6*(1+D5)</f>
        <v>41411606472.31048</v>
      </c>
      <c r="E6" s="18">
        <f>D6*(1+E5)</f>
        <v>40458243027.87384</v>
      </c>
      <c r="F6" s="18">
        <f>E6*(1+F5)</f>
        <v>39850639501.81606</v>
      </c>
      <c r="G6" s="18">
        <f>F6*(1+G5)</f>
        <v>39571109889.89313</v>
      </c>
      <c r="H6" s="18">
        <f>G6*(1+H5)</f>
        <v>39610252673.911644</v>
      </c>
      <c r="I6" s="18">
        <f>H6*(1+I5)</f>
        <v>39966459114.93621</v>
      </c>
      <c r="J6" s="18">
        <f>I6*(1+J5)</f>
        <v>40645744718.15243</v>
      </c>
      <c r="K6" s="18">
        <f>J6*(1+K5)</f>
        <v>41661888336.10623</v>
      </c>
    </row>
    <row r="7" spans="1:11" x14ac:dyDescent="0.25">
      <c r="A7" t="s">
        <v>4</v>
      </c>
      <c r="B7" s="9">
        <f>Assumptions!B7</f>
        <v>0.1927742609680891</v>
      </c>
      <c r="C7" s="9">
        <f>Assumptions!B7</f>
        <v>0.1927742609680891</v>
      </c>
      <c r="D7" s="9">
        <f>Assumptions!B7</f>
        <v>0.1927742609680891</v>
      </c>
      <c r="E7" s="9">
        <f>Assumptions!B7</f>
        <v>0.1927742609680891</v>
      </c>
      <c r="F7" s="9">
        <f>Assumptions!B7</f>
        <v>0.1927742609680891</v>
      </c>
      <c r="G7" s="9">
        <f>Assumptions!B7</f>
        <v>0.1927742609680891</v>
      </c>
      <c r="H7" s="9">
        <f>Assumptions!B7</f>
        <v>0.1927742609680891</v>
      </c>
      <c r="I7" s="9">
        <f>Assumptions!B7</f>
        <v>0.1927742609680891</v>
      </c>
      <c r="J7" s="9">
        <f>Assumptions!B7</f>
        <v>0.1927742609680891</v>
      </c>
      <c r="K7" s="9">
        <f>Assumptions!B7</f>
        <v>0.1927742609680891</v>
      </c>
    </row>
    <row r="8" spans="1:11" x14ac:dyDescent="0.25">
      <c r="A8" t="s">
        <v>51</v>
      </c>
      <c r="B8" s="18">
        <f>B6*B7</f>
        <v>8573306000.045773</v>
      </c>
      <c r="C8" s="18">
        <f>C6*C7</f>
        <v>8238699601.414816</v>
      </c>
      <c r="D8" s="18">
        <f>D6*D7</f>
        <v>7983091833.200988</v>
      </c>
      <c r="E8" s="18">
        <f>E6*E7</f>
        <v>7799307899.765723</v>
      </c>
      <c r="F8" s="18">
        <f>F6*F7</f>
        <v>7682177579.068331</v>
      </c>
      <c r="G8" s="18">
        <f>G6*G7</f>
        <v>7628291464.711189</v>
      </c>
      <c r="H8" s="18">
        <f>H6*H7</f>
        <v>7635837185.972592</v>
      </c>
      <c r="I8" s="18">
        <f>I6*I7</f>
        <v>7704504619.393177</v>
      </c>
      <c r="J8" s="18">
        <f>J6*J7</f>
        <v>7835453399.539446</v>
      </c>
      <c r="K8" s="18">
        <f>K6*K7</f>
        <v>8031339734.52793</v>
      </c>
    </row>
    <row r="9" spans="1:11" x14ac:dyDescent="0.25">
      <c r="A9" t="s">
        <v>52</v>
      </c>
      <c r="B9" s="18">
        <f>B8*(1-Assumptions!B8)</f>
        <v>6772911740.03616</v>
      </c>
      <c r="C9" s="18">
        <f>C8*(1-Assumptions!B8)</f>
        <v>6508572685.117704</v>
      </c>
      <c r="D9" s="18">
        <f>D8*(1-Assumptions!B8)</f>
        <v>6306642548.228781</v>
      </c>
      <c r="E9" s="18">
        <f>E8*(1-Assumptions!B8)</f>
        <v>6161453240.814921</v>
      </c>
      <c r="F9" s="18">
        <f>F8*(1-Assumptions!B8)</f>
        <v>6068920287.463982</v>
      </c>
      <c r="G9" s="18">
        <f>G8*(1-Assumptions!B8)</f>
        <v>6026350257.12184</v>
      </c>
      <c r="H9" s="18">
        <f>H8*(1-Assumptions!B8)</f>
        <v>6032311376.918348</v>
      </c>
      <c r="I9" s="18">
        <f>I8*(1-Assumptions!B8)</f>
        <v>6086558649.32061</v>
      </c>
      <c r="J9" s="18">
        <f>J8*(1-Assumptions!B8)</f>
        <v>6190008185.636163</v>
      </c>
      <c r="K9" s="18">
        <f>K8*(1-Assumptions!B8)</f>
        <v>6344758390.277065</v>
      </c>
    </row>
    <row r="10" spans="1:11" x14ac:dyDescent="0.25">
      <c r="A10" t="s">
        <v>53</v>
      </c>
      <c r="B10" s="18">
        <f>B6*Assumptions!B9</f>
        <v>1876206575.2025676</v>
      </c>
      <c r="C10" s="18">
        <f>C6*Assumptions!B9</f>
        <v>1802980362.9090953</v>
      </c>
      <c r="D10" s="18">
        <f>D6*Assumptions!B9</f>
        <v>1747042434.7174413</v>
      </c>
      <c r="E10" s="18">
        <f>E6*Assumptions!B9</f>
        <v>1706822638.0222116</v>
      </c>
      <c r="F10" s="18">
        <f>F6*Assumptions!B9</f>
        <v>1681189506.78359</v>
      </c>
      <c r="G10" s="18">
        <f>G6*Assumptions!B9</f>
        <v>1669396916.8458874</v>
      </c>
      <c r="H10" s="18">
        <f>H6*Assumptions!B9</f>
        <v>1671048243.865501</v>
      </c>
      <c r="I10" s="18">
        <f>I6*Assumptions!B9</f>
        <v>1686075619.5459323</v>
      </c>
      <c r="J10" s="18">
        <f>J6*Assumptions!B9</f>
        <v>1714732821.6012273</v>
      </c>
      <c r="K10" s="18">
        <f>K6*Assumptions!B9</f>
        <v>1757601142.1412578</v>
      </c>
    </row>
    <row r="11" spans="1:11" x14ac:dyDescent="0.25">
      <c r="A11" t="s">
        <v>54</v>
      </c>
      <c r="B11" s="18">
        <f>-B6*B19</f>
        <v>-3677863083.02085</v>
      </c>
      <c r="C11" s="18">
        <f>-C6*C19</f>
        <v>-3553699302.813947</v>
      </c>
      <c r="D11" s="18">
        <f>-D6*D19</f>
        <v>-3462222670.6980863</v>
      </c>
      <c r="E11" s="18">
        <f>-E6*E19</f>
        <v>-3400862101.94472</v>
      </c>
      <c r="F11" s="18">
        <f>-F6*F19</f>
        <v>-3367857808.4682164</v>
      </c>
      <c r="G11" s="18">
        <f>-G6*G19</f>
        <v>-3362177438.0068865</v>
      </c>
      <c r="H11" s="18">
        <f>-H6*H19</f>
        <v>-3383464211.610034</v>
      </c>
      <c r="I11" s="18">
        <f>-I6*I19</f>
        <v>-3432013482.33183</v>
      </c>
      <c r="J11" s="18">
        <f>-J6*J19</f>
        <v>-3508775854.2065005</v>
      </c>
      <c r="K11" s="18">
        <f>-K6*K19</f>
        <v>-3615386539.318164</v>
      </c>
    </row>
    <row r="12" spans="1:11" x14ac:dyDescent="0.25">
      <c r="A12" t="s">
        <v>55</v>
      </c>
      <c r="B12" s="18">
        <f>-(B6-Assumptions!B29)*Assumptions!B11</f>
        <v>-404273062.1294937</v>
      </c>
      <c r="C12" s="18">
        <f>-(C6-B6)*Assumptions!B11</f>
        <v>64708121.94509941</v>
      </c>
      <c r="D12" s="18">
        <f>-(D6-C6)*Assumptions!B11</f>
        <v>49430909.58023558</v>
      </c>
      <c r="E12" s="18">
        <f>-(E6-D6)*Assumptions!B11</f>
        <v>35541200.72101609</v>
      </c>
      <c r="F12" s="18">
        <f>-(F6-E6)*Assumptions!B11</f>
        <v>22651339.323354803</v>
      </c>
      <c r="G12" s="18">
        <f>-(G6-F6)*Assumptions!B11</f>
        <v>10420808.667245965</v>
      </c>
      <c r="H12" s="18">
        <f>-(H6-G6)*Assumptions!B11</f>
        <v>-1459235.249368676</v>
      </c>
      <c r="I12" s="18">
        <f>-(I6-H6)*Assumptions!B11</f>
        <v>-13279305.696532093</v>
      </c>
      <c r="J12" s="18">
        <f>-(J6-I6)*Assumptions!B11</f>
        <v>-25323632.987701178</v>
      </c>
      <c r="K12" s="18">
        <f>-(K6-J6)*Assumptions!B11</f>
        <v>-37881633.17759337</v>
      </c>
    </row>
    <row r="13" spans="1:11" x14ac:dyDescent="0.25">
      <c r="A13" s="19" t="s">
        <v>56</v>
      </c>
      <c r="B13" s="20">
        <f>B9+B10+B11+B12</f>
        <v>4566982170.088384</v>
      </c>
      <c r="C13" s="20">
        <f>C9+C10+C11+C12</f>
        <v>4822561867.157952</v>
      </c>
      <c r="D13" s="20">
        <f>D9+D10+D11+D12</f>
        <v>4640893221.828372</v>
      </c>
      <c r="E13" s="20">
        <f>E9+E10+E11+E12</f>
        <v>4502954977.61343</v>
      </c>
      <c r="F13" s="20">
        <f>F9+F10+F11+F12</f>
        <v>4404903325.102711</v>
      </c>
      <c r="G13" s="20">
        <f>G9+G10+G11+G12</f>
        <v>4343990544.628086</v>
      </c>
      <c r="H13" s="20">
        <f>H9+H10+H11+H12</f>
        <v>4318436173.924447</v>
      </c>
      <c r="I13" s="20">
        <f>I9+I10+I11+I12</f>
        <v>4327341480.838181</v>
      </c>
      <c r="J13" s="20">
        <f>J9+J10+J11+J12</f>
        <v>4370641520.043188</v>
      </c>
      <c r="K13" s="20">
        <f>K9+K10+K11+K12</f>
        <v>4449091359.922566</v>
      </c>
    </row>
    <row r="14" spans="1:11" x14ac:dyDescent="0.25">
      <c r="A14" t="s">
        <v>57</v>
      </c>
      <c r="B14" s="21">
        <f>1/(1+Assumptions!$B$26)^(1-0.5*Assumptions!$B$32)</f>
        <v>0.9660076466778321</v>
      </c>
      <c r="C14" s="21">
        <f>1/(1+Assumptions!$B$26)^(2-0.5*Assumptions!$B$32)</f>
        <v>0.9014501027993489</v>
      </c>
      <c r="D14" s="21">
        <f>1/(1+Assumptions!$B$26)^(3-0.5*Assumptions!$B$32)</f>
        <v>0.8412068896468752</v>
      </c>
      <c r="E14" s="21">
        <f>1/(1+Assumptions!$B$26)^(4-0.5*Assumptions!$B$32)</f>
        <v>0.7849896838348679</v>
      </c>
      <c r="F14" s="21">
        <f>1/(1+Assumptions!$B$26)^(5-0.5*Assumptions!$B$32)</f>
        <v>0.732529430406639</v>
      </c>
      <c r="G14" s="21">
        <f>1/(1+Assumptions!$B$26)^(6-0.5*Assumptions!$B$32)</f>
        <v>0.6835750551401578</v>
      </c>
      <c r="H14" s="21">
        <f>1/(1+Assumptions!$B$26)^(7-0.5*Assumptions!$B$32)</f>
        <v>0.6378922629094614</v>
      </c>
      <c r="I14" s="21">
        <f>1/(1+Assumptions!$B$26)^(8-0.5*Assumptions!$B$32)</f>
        <v>0.5952624163506417</v>
      </c>
      <c r="J14" s="21">
        <f>1/(1+Assumptions!$B$26)^(9-0.5*Assumptions!$B$32)</f>
        <v>0.5554814894657175</v>
      </c>
      <c r="K14" s="21">
        <f>1/(1+Assumptions!$B$26)^(10-0.5*Assumptions!$B$32)</f>
        <v>0.518359091156351</v>
      </c>
    </row>
    <row r="15" spans="1:11" x14ac:dyDescent="0.25">
      <c r="A15" s="19" t="s">
        <v>58</v>
      </c>
      <c r="B15" s="20">
        <f>B13*B14</f>
        <v>4411739698.546699</v>
      </c>
      <c r="C15" s="20">
        <f>C13*C14</f>
        <v>4347298890.905756</v>
      </c>
      <c r="D15" s="20">
        <f>D13*D14</f>
        <v>3903951352.31751</v>
      </c>
      <c r="E15" s="20">
        <f>E13*E14</f>
        <v>3534773204.199411</v>
      </c>
      <c r="F15" s="20">
        <f>F13*F14</f>
        <v>3226721323.733799</v>
      </c>
      <c r="G15" s="20">
        <f>G13*G14</f>
        <v>2969443576.0724683</v>
      </c>
      <c r="H15" s="20">
        <f>H13*H14</f>
        <v>2754697023.214742</v>
      </c>
      <c r="I15" s="20">
        <f>I13*I14</f>
        <v>2575903746.2580996</v>
      </c>
      <c r="J15" s="20">
        <f>J13*J14</f>
        <v>2427810461.474298</v>
      </c>
      <c r="K15" s="20">
        <f>K13*K14</f>
        <v>2306226953.8010354</v>
      </c>
    </row>
    <row r="17" spans="1:2" x14ac:dyDescent="0.25">
      <c r="A17" s="22" t="s">
        <v>59</v>
      </c>
      <c r="B17" s="23">
        <f>SUM(B15:K15)</f>
        <v>32458566230.523815</v>
      </c>
    </row>
    <row r="19" spans="1:11" x14ac:dyDescent="0.25">
      <c r="A19" t="s">
        <v>7</v>
      </c>
      <c r="B19" s="9">
        <f>Assumptions!$B$10+($B$20-Assumptions!$B$10)*0/9</f>
        <v>0.0826982424011667</v>
      </c>
      <c r="C19" s="9">
        <f>Assumptions!$B$10+($B$20-Assumptions!$B$10)*1/9</f>
        <v>0.08315168533212788</v>
      </c>
      <c r="D19" s="9">
        <f>Assumptions!$B$10+($B$20-Assumptions!$B$10)*2/9</f>
        <v>0.08360512826308905</v>
      </c>
      <c r="E19" s="9">
        <f>Assumptions!$B$10+($B$20-Assumptions!$B$10)*3/9</f>
        <v>0.08405857119405023</v>
      </c>
      <c r="F19" s="9">
        <f>Assumptions!$B$10+($B$20-Assumptions!$B$10)*4/9</f>
        <v>0.0845120141250114</v>
      </c>
      <c r="G19" s="9">
        <f>Assumptions!$B$10+($B$20-Assumptions!$B$10)*5/9</f>
        <v>0.08496545705597258</v>
      </c>
      <c r="H19" s="9">
        <f>Assumptions!$B$10+($B$20-Assumptions!$B$10)*6/9</f>
        <v>0.08541889998693375</v>
      </c>
      <c r="I19" s="9">
        <f>Assumptions!$B$10+($B$20-Assumptions!$B$10)*7/9</f>
        <v>0.08587234291789493</v>
      </c>
      <c r="J19" s="9">
        <f>Assumptions!$B$10+($B$20-Assumptions!$B$10)*8/9</f>
        <v>0.0863257858488561</v>
      </c>
      <c r="K19" s="9">
        <f>Assumptions!$B$10+($B$20-Assumptions!$B$10)*9/9</f>
        <v>0.08677922877981728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0.08677922877981728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4449091359.922566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6344758390.277065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0.29280632656144057</v>
      </c>
    </row>
    <row r="7" spans="1:2" x14ac:dyDescent="0.25">
      <c r="A7" t="s">
        <v>66</v>
      </c>
      <c r="B7" s="18">
        <f>-MAX(B5,0)*B6</f>
        <v>-1857785397.1769063</v>
      </c>
    </row>
    <row r="8" spans="1:2" x14ac:dyDescent="0.25">
      <c r="A8" t="s">
        <v>67</v>
      </c>
      <c r="B8" s="18">
        <f>IF(OR(Assumptions!$B$33=0,Assumptions!B12&lt;=0),B5,MAX(B5+B7,0))</f>
        <v>4486972993.100159</v>
      </c>
    </row>
    <row r="9" spans="1:2" x14ac:dyDescent="0.25">
      <c r="A9" t="s">
        <v>68</v>
      </c>
      <c r="B9" s="18">
        <f>B8*(1+Assumptions!B12)/(Assumptions!B26-Assumptions!B12)</f>
        <v>98661932878.21854</v>
      </c>
    </row>
    <row r="10" spans="1:2" x14ac:dyDescent="0.25">
      <c r="A10" t="s">
        <v>69</v>
      </c>
      <c r="B10" s="18">
        <f>B9/(1+Assumptions!B26)^(10-0.5*Assumptions!B32)</f>
        <v>51142309858.48227</v>
      </c>
    </row>
    <row r="11" spans="1:2" x14ac:dyDescent="0.25">
      <c r="A11" t="s">
        <v>70</v>
      </c>
      <c r="B11" s="18">
        <f>Forecast!B17+B10</f>
        <v>83600876089.00609</v>
      </c>
    </row>
    <row r="12" spans="1:2" x14ac:dyDescent="0.25">
      <c r="A12" t="s">
        <v>71</v>
      </c>
      <c r="B12" s="18">
        <f>-Assumptions!B30</f>
        <v>-32738000000</v>
      </c>
    </row>
    <row r="13" spans="1:2" x14ac:dyDescent="0.25">
      <c r="A13" t="s">
        <v>72</v>
      </c>
      <c r="B13" s="18">
        <f>B11+B12</f>
        <v>50862876089.00609</v>
      </c>
    </row>
    <row r="14" spans="1:2" x14ac:dyDescent="0.25">
      <c r="A14" s="19" t="s">
        <v>73</v>
      </c>
      <c r="B14" s="24">
        <f>B13/Assumptions!B31</f>
        <v>81.26358218406469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9788940876.669188</v>
      </c>
    </row>
    <row r="18" spans="1:2" x14ac:dyDescent="0.25">
      <c r="A18" t="s">
        <v>68</v>
      </c>
      <c r="B18" s="18">
        <f>B17*Assumptions!B13</f>
        <v>125345178208.45181</v>
      </c>
    </row>
    <row r="19" spans="1:2" x14ac:dyDescent="0.25">
      <c r="A19" t="s">
        <v>69</v>
      </c>
      <c r="B19" s="18">
        <f>B18/(1+Assumptions!B26)^(10-0.5*Assumptions!B32)</f>
        <v>64973812656.963936</v>
      </c>
    </row>
    <row r="20" spans="1:2" x14ac:dyDescent="0.25">
      <c r="A20" t="s">
        <v>70</v>
      </c>
      <c r="B20" s="18">
        <f>Forecast!B17+B19</f>
        <v>97432378887.48775</v>
      </c>
    </row>
    <row r="21" spans="1:2" x14ac:dyDescent="0.25">
      <c r="A21" t="s">
        <v>71</v>
      </c>
      <c r="B21" s="18">
        <f>-Assumptions!B30</f>
        <v>-32738000000</v>
      </c>
    </row>
    <row r="22" spans="1:2" x14ac:dyDescent="0.25">
      <c r="A22" t="s">
        <v>72</v>
      </c>
      <c r="B22" s="18">
        <f>B20+B21</f>
        <v>64694378887.48775</v>
      </c>
    </row>
    <row r="23" spans="1:2" x14ac:dyDescent="0.25">
      <c r="A23" s="19" t="s">
        <v>73</v>
      </c>
      <c r="B23" s="25">
        <f>B22/Assumptions!B31</f>
        <v>103.36216470280836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97.07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81.26358218406469</v>
      </c>
    </row>
    <row r="29" spans="1:2" x14ac:dyDescent="0.25">
      <c r="A29" s="19" t="s">
        <v>81</v>
      </c>
      <c r="B29" s="11">
        <f>B28/B26-1</f>
        <v>-0.16283525101406515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0.051615</v>
      </c>
      <c r="B5" s="31">
        <v>151.79240120570972</v>
      </c>
      <c r="C5" s="31">
        <v>161.3927335596142</v>
      </c>
      <c r="D5" s="31">
        <v>175.2347145201644</v>
      </c>
      <c r="E5" s="31">
        <v>196.26188926893292</v>
      </c>
      <c r="F5" s="31">
        <v>230.9610412439739</v>
      </c>
    </row>
    <row r="6" spans="1:6" x14ac:dyDescent="0.25">
      <c r="A6" s="30">
        <v>0.061615</v>
      </c>
      <c r="B6" s="31">
        <v>108.70165542810882</v>
      </c>
      <c r="C6" s="31">
        <v>111.48002223475213</v>
      </c>
      <c r="D6" s="31">
        <v>115.4532465335458</v>
      </c>
      <c r="E6" s="31">
        <v>121.18823841091285</v>
      </c>
      <c r="F6" s="31">
        <v>129.6779159085063</v>
      </c>
    </row>
    <row r="7" spans="1:6" x14ac:dyDescent="0.25">
      <c r="A7" s="30">
        <v>0.071615</v>
      </c>
      <c r="B7" s="31">
        <v>80.84571014650851</v>
      </c>
      <c r="C7" s="31">
        <v>80.888317341697</v>
      </c>
      <c r="D7" s="32">
        <v>81.26416299013546</v>
      </c>
      <c r="E7" s="31">
        <v>82.09336187732805</v>
      </c>
      <c r="F7" s="31">
        <v>83.561638394407</v>
      </c>
    </row>
    <row r="8" spans="1:6" x14ac:dyDescent="0.25">
      <c r="A8" s="30">
        <v>0.081615</v>
      </c>
      <c r="B8" s="31">
        <v>61.36205307301434</v>
      </c>
      <c r="C8" s="31">
        <v>60.21078320507775</v>
      </c>
      <c r="D8" s="31">
        <v>59.10889375416161</v>
      </c>
      <c r="E8" s="31">
        <v>58.07073532096935</v>
      </c>
      <c r="F8" s="31">
        <v>57.11681558040938</v>
      </c>
    </row>
    <row r="9" spans="1:6" x14ac:dyDescent="0.25">
      <c r="A9" s="30">
        <v>0.091615</v>
      </c>
      <c r="B9" s="31">
        <v>47.99892711308427</v>
      </c>
      <c r="C9" s="31">
        <v>46.73492898461929</v>
      </c>
      <c r="D9" s="31">
        <v>45.47093085615427</v>
      </c>
      <c r="E9" s="31">
        <v>44.20693272768929</v>
      </c>
      <c r="F9" s="31">
        <v>42.94293459922429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33629000000</v>
      </c>
      <c r="C5" s="18">
        <v>21698000000</v>
      </c>
      <c r="D5" s="18">
        <v>17677000000</v>
      </c>
      <c r="E5" s="18">
        <v>22387000000</v>
      </c>
      <c r="F5" s="6" t="s">
        <v>91</v>
      </c>
    </row>
    <row r="6" spans="1:6" x14ac:dyDescent="0.25">
      <c r="A6" t="s">
        <v>51</v>
      </c>
      <c r="B6" s="18">
        <v>5822000000</v>
      </c>
      <c r="C6" s="18">
        <v>5062000000</v>
      </c>
      <c r="D6" s="18">
        <v>4230000000</v>
      </c>
      <c r="E6" s="18">
        <v>2807000000</v>
      </c>
      <c r="F6" s="6" t="s">
        <v>92</v>
      </c>
    </row>
    <row r="7" spans="1:6" x14ac:dyDescent="0.25">
      <c r="A7" t="s">
        <v>93</v>
      </c>
      <c r="B7" s="18">
        <v>1514000000</v>
      </c>
      <c r="C7" s="18">
        <v>1134000000</v>
      </c>
      <c r="D7" s="18">
        <v>769000000</v>
      </c>
      <c r="E7" s="18">
        <v>626000000</v>
      </c>
      <c r="F7" s="6" t="s">
        <v>94</v>
      </c>
    </row>
    <row r="8" spans="1:6" x14ac:dyDescent="0.25">
      <c r="A8" t="s">
        <v>95</v>
      </c>
      <c r="B8" s="18">
        <v>3152000000</v>
      </c>
      <c r="C8" s="18">
        <v>2021000000</v>
      </c>
      <c r="D8" s="18">
        <v>1595000000</v>
      </c>
      <c r="E8" s="18">
        <v>1202000000</v>
      </c>
      <c r="F8" s="6" t="s">
        <v>96</v>
      </c>
    </row>
    <row r="9" spans="1:6" x14ac:dyDescent="0.25">
      <c r="A9" t="s">
        <v>97</v>
      </c>
      <c r="B9" s="18">
        <v>380000000</v>
      </c>
      <c r="C9" s="18">
        <v>43000000</v>
      </c>
      <c r="D9" s="18">
        <v>-358000000</v>
      </c>
      <c r="E9" s="18">
        <v>58000000</v>
      </c>
      <c r="F9" s="6" t="s">
        <v>98</v>
      </c>
    </row>
    <row r="10" spans="1:6" x14ac:dyDescent="0.25">
      <c r="A10" t="s">
        <v>99</v>
      </c>
      <c r="B10" s="18">
        <v>32816000000</v>
      </c>
      <c r="C10" s="18">
        <v>32077000000</v>
      </c>
      <c r="D10" s="18">
        <v>21667000000</v>
      </c>
      <c r="E10" s="18">
        <v>13701000000</v>
      </c>
      <c r="F10" s="6" t="s">
        <v>100</v>
      </c>
    </row>
    <row r="11" spans="1:6" x14ac:dyDescent="0.25">
      <c r="A11" t="s">
        <v>101</v>
      </c>
      <c r="B11" s="18">
        <v>78000000</v>
      </c>
      <c r="C11" s="18">
        <v>733000000</v>
      </c>
      <c r="D11" s="18">
        <v>338000000</v>
      </c>
      <c r="E11" s="18">
        <v>220000000</v>
      </c>
      <c r="F11" s="6" t="s">
        <v>102</v>
      </c>
    </row>
    <row r="12" spans="1:6" x14ac:dyDescent="0.25">
      <c r="A12" t="s">
        <v>34</v>
      </c>
      <c r="B12" s="34">
        <v>625900000</v>
      </c>
      <c r="C12" s="34">
        <v>586500000</v>
      </c>
      <c r="D12" s="34">
        <v>485400000</v>
      </c>
      <c r="E12" s="34">
        <v>448400000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