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<sst xmlns="http://schemas.openxmlformats.org/spreadsheetml/2006/main" count="112" uniqueCount="100">
  <si>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ONEOK, Inc. (OKE)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</si>
  <si>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</si>
  <si>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</si>
  <si>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</si>
  <si>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</si>
  <si>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</si>
  <si>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</si>
  <si>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</si>
  <si>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</si>
  <si>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</si>
  <si>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</si>
  <si>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</si>
  <si>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</si>
  <si>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</si>
  <si>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</si>
  <si>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</si>
  <si>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</si>
  <si>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</si>
  <si>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</si>
  <si>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</si>
  <si>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</si>
  <si>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</si>
  <si>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</si>
  <si>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</si>
  <si>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</si>
  <si>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</si>
  <si>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</si>
  <si>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</si>
  <si>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</si>
  <si>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</si>
  <si>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</si>
  <si>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</si>
  <si>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</si>
  <si>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</si>
  <si>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</si>
  <si>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</si>
  <si>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</si>
  <si>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</si>
  <si>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</si>
  <si>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</si>
  <si>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</si>
  <si>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</si>
  <si>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</si>
  <si>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</si>
  <si>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</si>
  <si>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</si>
  <si>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</si>
  <si>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</si>
  <si>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</si>
  <si>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</si>
  <si>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</si>
  <si>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</si>
  <si>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</si>
  <si>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</si>
  <si>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</si>
  <si>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</si>
  <si>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</si>
  <si>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</si>
  <si>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</si>
  <si>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</si>
  <si>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</si>
  <si>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</si>
  <si>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</si>
  <si>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</si>
  <si>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</si>
  <si>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</si>
  <si>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</si>
  <si>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</si>
  <si>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</si>
  <si>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</si>
  <si>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</si>
  <si>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</si>
  <si>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</si>
  <si>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</si>
  <si>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</si>
  <si>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</si>
  <si>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</si>
  <si>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</si>
  <si>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</si>
  <si>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</si>
  <si>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</si>
  <si>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</si>
  <si>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</si>
  <si>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</si>
  <si>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</si>
  <si>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</si>
  <si>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</si>
  <si>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</si>
  <si>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</si>
  <si>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</si>
  <si>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</si>
  <si>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</si>
  <si>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</si>
  <si>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</si>
  <si>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</si>
  <si>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</si>
  <si>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</si>
  <si>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</si>
  <si>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8.3% of revenue against depreciation of 4.2%.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</si>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</sst>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0.1452650774509614</v>
      </c>
    </row>
    <row r="7" spans="1:2" x14ac:dyDescent="0.25">
      <c r="A7" t="s">
        <v>5</v>
      </c>
      <c r="B7" s="6">
        <v>0.1927742609680891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0.04218726544418378</v>
      </c>
    </row>
    <row r="10" spans="1:2" x14ac:dyDescent="0.25">
      <c r="A10" t="s">
        <v>8</v>
      </c>
      <c r="B10" s="6">
        <v>0.0826982424011667</v>
      </c>
    </row>
    <row r="11" spans="1:2" x14ac:dyDescent="0.25">
      <c r="A11" t="s">
        <v>9</v>
      </c>
      <c r="B11" s="6">
        <v>0.03184980303411281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12.494008130861506</v>
      </c>
    </row>
    <row r="14" spans="1:3" x14ac:dyDescent="0.25">
      <c r="A14" t="s">
        <v>12</v>
      </c>
      <c r="B14" s="6">
        <v>0.08538066883180602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0.81173</v>
      </c>
      <c r="C19" s="8" t="s">
        <v>19</v>
      </c>
    </row>
    <row r="20" spans="1:2" x14ac:dyDescent="0.25">
      <c r="A20" t="s">
        <v>20</v>
      </c>
      <c r="B20" s="10">
        <f>B17+B19*B18</f>
        <v>0.09462514999999999</v>
      </c>
    </row>
    <row r="21" spans="1:3" x14ac:dyDescent="0.25">
      <c r="A21" t="s">
        <v>21</v>
      </c>
      <c r="B21" s="6">
        <v>0.05495199790424237</v>
      </c>
      <c r="C21" s="8" t="s">
        <v>22</v>
      </c>
    </row>
    <row r="22" spans="1:2" x14ac:dyDescent="0.25">
      <c r="A22" t="s">
        <v>23</v>
      </c>
      <c r="B22" s="11">
        <v>58918043648</v>
      </c>
    </row>
    <row r="23" spans="1:2" x14ac:dyDescent="0.25">
      <c r="A23" t="s">
        <v>24</v>
      </c>
      <c r="B23" s="11">
        <v>32816000000</v>
      </c>
    </row>
    <row r="24" spans="1:2" x14ac:dyDescent="0.25">
      <c r="A24" t="s">
        <v>25</v>
      </c>
      <c r="B24" s="10">
        <f>B22/(B22+B23)</f>
        <v>0.642270211853727</v>
      </c>
    </row>
    <row r="25" spans="1:2" x14ac:dyDescent="0.25">
      <c r="A25" t="s">
        <v>26</v>
      </c>
      <c r="B25" s="10">
        <f>1-B24</f>
        <v>0.357729788146273</v>
      </c>
    </row>
    <row r="26" spans="1:2" x14ac:dyDescent="0.25">
      <c r="A26" t="s">
        <v>27</v>
      </c>
      <c r="B26" s="12">
        <f>B24*B20+B25*B21*(1-B8)</f>
        <v>0.07630470872630495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33629000000</v>
      </c>
      <c r="C29" s="8" t="s">
        <v>30</v>
      </c>
    </row>
    <row r="30" spans="1:2" x14ac:dyDescent="0.25">
      <c r="A30" t="s">
        <v>31</v>
      </c>
      <c r="B30" s="11">
        <v>32738000000</v>
      </c>
    </row>
    <row r="31" spans="1:2" x14ac:dyDescent="0.25">
      <c r="A31" t="s">
        <v>32</v>
      </c>
      <c r="B31" s="13">
        <v>625900000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0.1452650774509614</v>
      </c>
      <c r="C5" s="10">
        <f>Assumptions!B6</f>
        <v>0.1452650774509614</v>
      </c>
      <c r="D5" s="10">
        <f>Assumptions!B6</f>
        <v>0.1452650774509614</v>
      </c>
      <c r="E5" s="10">
        <f>Assumptions!B6</f>
        <v>0.1452650774509614</v>
      </c>
      <c r="F5" s="10">
        <f>Assumptions!B6</f>
        <v>0.1452650774509614</v>
      </c>
    </row>
    <row r="6" spans="1:6" x14ac:dyDescent="0.25">
      <c r="A6" t="s">
        <v>43</v>
      </c>
      <c r="B6" s="18">
        <f>Assumptions!B29*(1+B5)</f>
        <v>38514119289.59838</v>
      </c>
      <c r="C6" s="18">
        <f>B6*(1+C5)</f>
        <v>44108875811.157455</v>
      </c>
      <c r="D6" s="18">
        <f>C6*(1+D5)</f>
        <v>50516355072.14008</v>
      </c>
      <c r="E6" s="18">
        <f>D6*(1+E5)</f>
        <v>57854617304.23478</v>
      </c>
      <c r="F6" s="18">
        <f>E6*(1+F5)</f>
        <v>66258872767.83018</v>
      </c>
    </row>
    <row r="7" spans="1:6" x14ac:dyDescent="0.25">
      <c r="A7" t="s">
        <v>5</v>
      </c>
      <c r="B7" s="10">
        <f>Assumptions!B7</f>
        <v>0.1927742609680891</v>
      </c>
      <c r="C7" s="10">
        <f>Assumptions!B7</f>
        <v>0.1927742609680891</v>
      </c>
      <c r="D7" s="10">
        <f>Assumptions!B7</f>
        <v>0.1927742609680891</v>
      </c>
      <c r="E7" s="10">
        <f>Assumptions!B7</f>
        <v>0.1927742609680891</v>
      </c>
      <c r="F7" s="10">
        <f>Assumptions!B7</f>
        <v>0.1927742609680891</v>
      </c>
    </row>
    <row r="8" spans="1:6" x14ac:dyDescent="0.25">
      <c r="A8" t="s">
        <v>44</v>
      </c>
      <c r="B8" s="18">
        <f>B6*B7</f>
        <v>7424530882.8891535</v>
      </c>
      <c r="C8" s="18">
        <f>C6*C7</f>
        <v>8503055936.629101</v>
      </c>
      <c r="D8" s="18">
        <f>D6*D7</f>
        <v>9738253015.833384</v>
      </c>
      <c r="E8" s="18">
        <f>E6*E7</f>
        <v>11152881094.41548</v>
      </c>
      <c r="F8" s="18">
        <f>F6*F7</f>
        <v>12773005230.397108</v>
      </c>
    </row>
    <row r="9" spans="1:6" x14ac:dyDescent="0.25">
      <c r="A9" t="s">
        <v>45</v>
      </c>
      <c r="B9" s="18">
        <f>B8*(1-Assumptions!B8)</f>
        <v>5865379397.482431</v>
      </c>
      <c r="C9" s="18">
        <f>C8*(1-Assumptions!B8)</f>
        <v>6717414189.93699</v>
      </c>
      <c r="D9" s="18">
        <f>D8*(1-Assumptions!B8)</f>
        <v>7693219882.508373</v>
      </c>
      <c r="E9" s="18">
        <f>E8*(1-Assumptions!B8)</f>
        <v>8810776064.58823</v>
      </c>
      <c r="F9" s="18">
        <f>F8*(1-Assumptions!B8)</f>
        <v>10090674132.013716</v>
      </c>
    </row>
    <row r="10" spans="1:6" x14ac:dyDescent="0.25">
      <c r="A10" t="s">
        <v>46</v>
      </c>
      <c r="B10" s="18">
        <f>B6*Assumptions!B9</f>
        <v>1624805373.8192458</v>
      </c>
      <c r="C10" s="18">
        <f>C6*Assumptions!B9</f>
        <v>1860832852.289837</v>
      </c>
      <c r="D10" s="18">
        <f>D6*Assumptions!B9</f>
        <v>2131146880.7010133</v>
      </c>
      <c r="E10" s="18">
        <f>E6*Assumptions!B9</f>
        <v>2440728097.385421</v>
      </c>
      <c r="F10" s="18">
        <f>F6*Assumptions!B9</f>
        <v>2795280653.488852</v>
      </c>
    </row>
    <row r="11" spans="1:6" x14ac:dyDescent="0.25">
      <c r="A11" t="s">
        <v>47</v>
      </c>
      <c r="B11" s="18">
        <f>-B6*Assumptions!B10</f>
        <v>-3185049972.8786573</v>
      </c>
      <c r="C11" s="18">
        <f>-C6*Assumptions!B10</f>
        <v>-3647726503.874058</v>
      </c>
      <c r="D11" s="18">
        <f>-D6*Assumptions!B10</f>
        <v>-4177613776.9792476</v>
      </c>
      <c r="E11" s="18">
        <f>-E6*Assumptions!B10</f>
        <v>-4784475165.852342</v>
      </c>
      <c r="F11" s="18">
        <f>-F6*Assumptions!B10</f>
        <v>-5479492321.382083</v>
      </c>
    </row>
    <row r="12" spans="1:6" x14ac:dyDescent="0.25">
      <c r="A12" t="s">
        <v>48</v>
      </c>
      <c r="B12" s="18">
        <f>-(B6-Assumptions!B29)*Assumptions!B11</f>
        <v>-155590087.17185354</v>
      </c>
      <c r="C12" s="18">
        <f>-(C6-B6)*Assumptions!B11</f>
        <v>-178191893.23547465</v>
      </c>
      <c r="D12" s="18">
        <f>-(D6-C6)*Assumptions!B11</f>
        <v>-204076952.40745944</v>
      </c>
      <c r="E12" s="18">
        <f>-(E6-D6)*Assumptions!B11</f>
        <v>-233722206.70488513</v>
      </c>
      <c r="F12" s="18">
        <f>-(F6-E6)*Assumptions!B11</f>
        <v>-267673881.1638799</v>
      </c>
    </row>
    <row r="13" spans="1:6" x14ac:dyDescent="0.25">
      <c r="A13" s="19" t="s">
        <v>49</v>
      </c>
      <c r="B13" s="20">
        <f>B9+B10+B11+B12</f>
        <v>4149544711.251167</v>
      </c>
      <c r="C13" s="20">
        <f>C9+C10+C11+C12</f>
        <v>4752328645.117294</v>
      </c>
      <c r="D13" s="20">
        <f>D9+D10+D11+D12</f>
        <v>5442676033.8226795</v>
      </c>
      <c r="E13" s="20">
        <f>E9+E10+E11+E12</f>
        <v>6233306789.416425</v>
      </c>
      <c r="F13" s="20">
        <f>F9+F10+F11+F12</f>
        <v>7138788582.956604</v>
      </c>
    </row>
    <row r="14" spans="1:6" x14ac:dyDescent="0.25">
      <c r="A14" t="s">
        <v>50</v>
      </c>
      <c r="B14" s="21">
        <f>1/(1+Assumptions!$B$26)^(1-0.5*Assumptions!$B$32)</f>
        <v>0.9639008868780354</v>
      </c>
      <c r="C14" s="21">
        <f>1/(1+Assumptions!$B$26)^(2-0.5*Assumptions!$B$32)</f>
        <v>0.8955650561249632</v>
      </c>
      <c r="D14" s="21">
        <f>1/(1+Assumptions!$B$26)^(3-0.5*Assumptions!$B$32)</f>
        <v>0.8320738995788393</v>
      </c>
      <c r="E14" s="21">
        <f>1/(1+Assumptions!$B$26)^(4-0.5*Assumptions!$B$32)</f>
        <v>0.7730839536728521</v>
      </c>
      <c r="F14" s="21">
        <f>1/(1+Assumptions!$B$26)^(5-0.5*Assumptions!$B$32)</f>
        <v>0.7182761047173312</v>
      </c>
    </row>
    <row r="15" spans="1:6" x14ac:dyDescent="0.25">
      <c r="A15" s="19" t="s">
        <v>51</v>
      </c>
      <c r="B15" s="20">
        <f>B13*B14</f>
        <v>3999749827.315061</v>
      </c>
      <c r="C15" s="20">
        <f>C13*C14</f>
        <v>4256019469.7887397</v>
      </c>
      <c r="D15" s="20">
        <f>D13*D14</f>
        <v>4528708671.607127</v>
      </c>
      <c r="E15" s="20">
        <f>E13*E14</f>
        <v>4818869457.217882</v>
      </c>
      <c r="F15" s="20">
        <f>F13*F14</f>
        <v>5127621255.766625</v>
      </c>
    </row>
    <row r="17" spans="1:2" x14ac:dyDescent="0.25">
      <c r="A17" s="22" t="s">
        <v>52</v>
      </c>
      <c r="B17" s="23">
        <f>SUM(B15:F15)</f>
        <v>22730968681.695435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7138788582.956604</v>
      </c>
    </row>
    <row r="5" spans="1:2" x14ac:dyDescent="0.25">
      <c r="A5" t="s">
        <v>56</v>
      </c>
      <c r="B5" s="18">
        <f>IF(Assumptions!$B$33=0,B4,B4-Forecast!F11-Forecast!F10-Forecast!F12)</f>
        <v>10090674132.013716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0.29280632656144057</v>
      </c>
    </row>
    <row r="7" spans="1:2" x14ac:dyDescent="0.25">
      <c r="A7" t="s">
        <v>58</v>
      </c>
      <c r="B7" s="18">
        <f>-MAX(Forecast!F9,0)*B6</f>
        <v>-2954613225.123489</v>
      </c>
    </row>
    <row r="8" spans="1:2" x14ac:dyDescent="0.25">
      <c r="A8" t="s">
        <v>59</v>
      </c>
      <c r="B8" s="18">
        <f>IF(OR(Assumptions!$B$33=0,Assumptions!B12&lt;=0),B5,MAX(B5+B7,0))</f>
        <v>7136060906.890226</v>
      </c>
    </row>
    <row r="9" spans="1:2" x14ac:dyDescent="0.25">
      <c r="A9" t="s">
        <v>60</v>
      </c>
      <c r="B9" s="18">
        <f>B8*(1+Assumptions!B12)/(Assumptions!B26-Assumptions!B12)</f>
        <v>142569027505.5048</v>
      </c>
    </row>
    <row r="10" spans="1:2" x14ac:dyDescent="0.25">
      <c r="A10" t="s">
        <v>61</v>
      </c>
      <c r="B10" s="18">
        <f>B9/(1+Assumptions!B26)^(5-0.5*Assumptions!B32)</f>
        <v>102403925729.99202</v>
      </c>
    </row>
    <row r="11" spans="1:2" x14ac:dyDescent="0.25">
      <c r="A11" t="s">
        <v>62</v>
      </c>
      <c r="B11" s="18">
        <f>Forecast!B17+B10</f>
        <v>125134894411.68745</v>
      </c>
    </row>
    <row r="12" spans="1:2" x14ac:dyDescent="0.25">
      <c r="A12" t="s">
        <v>63</v>
      </c>
      <c r="B12" s="18">
        <f>-Assumptions!B30</f>
        <v>-32738000000</v>
      </c>
    </row>
    <row r="13" spans="1:2" x14ac:dyDescent="0.25">
      <c r="A13" t="s">
        <v>64</v>
      </c>
      <c r="B13" s="18">
        <f>B11+B12</f>
        <v>92396894411.68745</v>
      </c>
    </row>
    <row r="14" spans="1:2" x14ac:dyDescent="0.25">
      <c r="A14" s="19" t="s">
        <v>65</v>
      </c>
      <c r="B14" s="24">
        <f>B13/Assumptions!B31</f>
        <v>147.6224547238975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15568285883.88596</v>
      </c>
    </row>
    <row r="18" spans="1:2" x14ac:dyDescent="0.25">
      <c r="A18" t="s">
        <v>60</v>
      </c>
      <c r="B18" s="18">
        <f>B17*Assumptions!B13</f>
        <v>194510290416.8476</v>
      </c>
    </row>
    <row r="19" spans="1:2" x14ac:dyDescent="0.25">
      <c r="A19" t="s">
        <v>61</v>
      </c>
      <c r="B19" s="18">
        <f>B18/(1+Assumptions!B26)^(5-0.5*Assumptions!B32)</f>
        <v>139712093728.0501</v>
      </c>
    </row>
    <row r="20" spans="1:2" x14ac:dyDescent="0.25">
      <c r="A20" t="s">
        <v>62</v>
      </c>
      <c r="B20" s="18">
        <f>Forecast!B17+B19</f>
        <v>162443062409.74554</v>
      </c>
    </row>
    <row r="21" spans="1:2" x14ac:dyDescent="0.25">
      <c r="A21" t="s">
        <v>63</v>
      </c>
      <c r="B21" s="18">
        <f>-Assumptions!B30</f>
        <v>-32738000000</v>
      </c>
    </row>
    <row r="22" spans="1:2" x14ac:dyDescent="0.25">
      <c r="A22" t="s">
        <v>64</v>
      </c>
      <c r="B22" s="18">
        <f>B20+B21</f>
        <v>129705062409.74554</v>
      </c>
    </row>
    <row r="23" spans="1:2" x14ac:dyDescent="0.25">
      <c r="A23" s="19" t="s">
        <v>65</v>
      </c>
      <c r="B23" s="25">
        <f>B22/Assumptions!B31</f>
        <v>207.22968910328413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93.46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147.6224547238975</v>
      </c>
    </row>
    <row r="29" spans="1:2" x14ac:dyDescent="0.25">
      <c r="A29" s="19" t="s">
        <v>73</v>
      </c>
      <c r="B29" s="12">
        <f>B28/B26-1</f>
        <v>0.5795255159843518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0.056305</v>
      </c>
      <c r="B5" s="31">
        <v>241.08066238576498</v>
      </c>
      <c r="C5" s="31">
        <v>256.93058132918765</v>
      </c>
      <c r="D5" s="31">
        <v>277.6078631366892</v>
      </c>
      <c r="E5" s="31">
        <v>305.86523325822947</v>
      </c>
      <c r="F5" s="31">
        <v>347.0395292770318</v>
      </c>
    </row>
    <row r="6" spans="1:6" x14ac:dyDescent="0.25">
      <c r="A6" s="30">
        <v>0.066305</v>
      </c>
      <c r="B6" s="31">
        <v>181.86228936819433</v>
      </c>
      <c r="C6" s="31">
        <v>188.62477720437994</v>
      </c>
      <c r="D6" s="31">
        <v>196.85325227617182</v>
      </c>
      <c r="E6" s="31">
        <v>207.1534110037352</v>
      </c>
      <c r="F6" s="31">
        <v>220.51791445835477</v>
      </c>
    </row>
    <row r="7" spans="1:6" x14ac:dyDescent="0.25">
      <c r="A7" s="30">
        <v>0.076305</v>
      </c>
      <c r="B7" s="31">
        <v>142.05286840486335</v>
      </c>
      <c r="C7" s="31">
        <v>144.65006032072233</v>
      </c>
      <c r="D7" s="32">
        <v>147.62130082310506</v>
      </c>
      <c r="E7" s="31">
        <v>151.0877588742805</v>
      </c>
      <c r="F7" s="31">
        <v>155.2292737971365</v>
      </c>
    </row>
    <row r="8" spans="1:6" x14ac:dyDescent="0.25">
      <c r="A8" s="30">
        <v>0.086305</v>
      </c>
      <c r="B8" s="31">
        <v>113.77988905469205</v>
      </c>
      <c r="C8" s="31">
        <v>114.42341531523971</v>
      </c>
      <c r="D8" s="31">
        <v>115.06694157578731</v>
      </c>
      <c r="E8" s="31">
        <v>115.71046783633497</v>
      </c>
      <c r="F8" s="31">
        <v>116.35399409688257</v>
      </c>
    </row>
    <row r="9" spans="1:6" x14ac:dyDescent="0.25">
      <c r="A9" s="30">
        <v>0.096305</v>
      </c>
      <c r="B9" s="31">
        <v>94.65233031440324</v>
      </c>
      <c r="C9" s="31">
        <v>95.20573791785695</v>
      </c>
      <c r="D9" s="31">
        <v>95.75914552131061</v>
      </c>
      <c r="E9" s="31">
        <v>96.31255312476434</v>
      </c>
      <c r="F9" s="31">
        <v>96.86596072821801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33629000000</v>
      </c>
      <c r="C5" s="18">
        <v>21698000000</v>
      </c>
      <c r="D5" s="18">
        <v>17677000000</v>
      </c>
      <c r="E5" s="18">
        <v>22387000000</v>
      </c>
      <c r="F5" s="8" t="s">
        <v>84</v>
      </c>
    </row>
    <row r="6" spans="1:6" x14ac:dyDescent="0.25">
      <c r="A6" t="s">
        <v>44</v>
      </c>
      <c r="B6" s="18">
        <v>5822000000</v>
      </c>
      <c r="C6" s="18">
        <v>5062000000</v>
      </c>
      <c r="D6" s="18">
        <v>4230000000</v>
      </c>
      <c r="E6" s="18">
        <v>2807000000</v>
      </c>
      <c r="F6" s="8" t="s">
        <v>85</v>
      </c>
    </row>
    <row r="7" spans="1:6" x14ac:dyDescent="0.25">
      <c r="A7" t="s">
        <v>86</v>
      </c>
      <c r="B7" s="18">
        <v>1514000000</v>
      </c>
      <c r="C7" s="18">
        <v>1134000000</v>
      </c>
      <c r="D7" s="18">
        <v>769000000</v>
      </c>
      <c r="E7" s="18">
        <v>626000000</v>
      </c>
      <c r="F7" s="8" t="s">
        <v>87</v>
      </c>
    </row>
    <row r="8" spans="1:6" x14ac:dyDescent="0.25">
      <c r="A8" t="s">
        <v>88</v>
      </c>
      <c r="B8" s="18">
        <v>3152000000</v>
      </c>
      <c r="C8" s="18">
        <v>2021000000</v>
      </c>
      <c r="D8" s="18">
        <v>1595000000</v>
      </c>
      <c r="E8" s="18">
        <v>1202000000</v>
      </c>
      <c r="F8" s="8" t="s">
        <v>89</v>
      </c>
    </row>
    <row r="9" spans="1:6" x14ac:dyDescent="0.25">
      <c r="A9" t="s">
        <v>90</v>
      </c>
      <c r="B9" s="18">
        <v>380000000</v>
      </c>
      <c r="C9" s="18">
        <v>43000000</v>
      </c>
      <c r="D9" s="18">
        <v>-358000000</v>
      </c>
      <c r="E9" s="18">
        <v>58000000</v>
      </c>
      <c r="F9" s="8" t="s">
        <v>91</v>
      </c>
    </row>
    <row r="10" spans="1:6" x14ac:dyDescent="0.25">
      <c r="A10" t="s">
        <v>92</v>
      </c>
      <c r="B10" s="18">
        <v>32816000000</v>
      </c>
      <c r="C10" s="18">
        <v>32077000000</v>
      </c>
      <c r="D10" s="18">
        <v>21667000000</v>
      </c>
      <c r="E10" s="18">
        <v>13701000000</v>
      </c>
      <c r="F10" s="8" t="s">
        <v>93</v>
      </c>
    </row>
    <row r="11" spans="1:6" x14ac:dyDescent="0.25">
      <c r="A11" t="s">
        <v>94</v>
      </c>
      <c r="B11" s="18">
        <v>78000000</v>
      </c>
      <c r="C11" s="18">
        <v>733000000</v>
      </c>
      <c r="D11" s="18">
        <v>338000000</v>
      </c>
      <c r="E11" s="18">
        <v>220000000</v>
      </c>
      <c r="F11" s="8" t="s">
        <v>95</v>
      </c>
    </row>
    <row r="12" spans="1:6" x14ac:dyDescent="0.25">
      <c r="A12" t="s">
        <v>32</v>
      </c>
      <c r="B12" s="34">
        <v>625900000</v>
      </c>
      <c r="C12" s="34">
        <v>586500000</v>
      </c>
      <c r="D12" s="34">
        <v>485400000</v>
      </c>
      <c r="E12" s="34">
        <v>448400000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2026-09-19T00:08:10Z</dcterms:modified>
</cp:coreProperties>
</file>