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<sst xmlns="http://schemas.openxmlformats.org/spreadsheetml/2006/main" count="121" uniqueCount="108">
  <si>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Omnicom Group Inc. (OMC)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</si>
  <si>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</si>
  <si>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</si>
  <si>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</si>
  <si>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</si>
  <si>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</si>
  <si>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</si>
  <si>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</si>
  <si>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</si>
  <si>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</si>
  <si>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</si>
  <si>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</si>
  <si>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</si>
  <si>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</si>
  <si>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</si>
  <si>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</si>
  <si>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</si>
  <si>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</si>
  <si>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</si>
  <si>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</si>
  <si>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</si>
  <si>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</si>
  <si>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</si>
  <si>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</si>
  <si>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1.7x interest cover, capped at 200bp because one year's cover is too noisy to charge more.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</si>
  <si>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</si>
  <si>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</si>
  <si>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</si>
  <si>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</si>
  <si>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</si>
  <si>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</si>
  <si>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</si>
  <si>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</si>
  <si>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</si>
  <si>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</si>
  <si>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</si>
  <si>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</si>
  <si>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</si>
  <si>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</si>
  <si>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</si>
  <si>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</si>
  <si>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</si>
  <si>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</si>
  <si>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</si>
  <si>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</si>
  <si>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</si>
  <si>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</si>
  <si>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</si>
  <si>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</si>
  <si>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</si>
  <si>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</si>
  <si>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</si>
  <si>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</si>
  <si>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</si>
  <si>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</si>
  <si>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</si>
  <si>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</si>
  <si>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</si>
  <si>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</si>
  <si>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</si>
  <si>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</si>
  <si>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</si>
  <si>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</si>
  <si>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</si>
  <si>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</si>
  <si>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</si>
  <si>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</si>
  <si>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</si>
  <si>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</si>
  <si>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</si>
  <si>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</si>
  <si>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</si>
  <si>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</si>
  <si>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</si>
  <si>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</si>
  <si>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</si>
  <si>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</si>
  <si>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</si>
  <si>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</si>
  <si>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</si>
  <si>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</si>
  <si>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</si>
  <si>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</si>
  <si>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</si>
  <si>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</si>
  <si>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</si>
  <si>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</si>
  <si>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</si>
  <si>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</si>
  <si>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</si>
  <si>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</si>
  <si>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</si>
  <si>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</si>
  <si>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</si>
  <si>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</si>
  <si>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</si>
  <si>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</si>
  <si>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</si>
  <si>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</si>
  <si>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</si>
  <si>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</si>
  <si>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</si>
  <si>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</si>
  <si>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</si>
  <si>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</si>
  <si>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</si>
  <si>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Current EV/EBITDA of 36.2x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</si>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</sst>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0.11494399672195164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0.015287092548950977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-0.11321329354641974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0.17736790128266172</v>
      </c>
      <c r="C14" s="6" t="s">
        <v>13</v>
      </c>
    </row>
    <row r="15" spans="1:3" x14ac:dyDescent="0.25">
      <c r="A15" t="s">
        <v>14</v>
      </c>
      <c r="B15" s="5">
        <v>0.008928279264892189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0.80101</v>
      </c>
      <c r="C19" s="6" t="s">
        <v>21</v>
      </c>
    </row>
    <row r="20" spans="1:2" x14ac:dyDescent="0.25">
      <c r="A20" t="s">
        <v>22</v>
      </c>
      <c r="B20" s="9">
        <f>B17+B19*B18</f>
        <v>0.082822723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22293352448</v>
      </c>
    </row>
    <row r="23" spans="1:2" x14ac:dyDescent="0.25">
      <c r="A23" t="s">
        <v>26</v>
      </c>
      <c r="B23" s="10">
        <v>10733500000</v>
      </c>
    </row>
    <row r="24" spans="1:2" x14ac:dyDescent="0.25">
      <c r="A24" t="s">
        <v>27</v>
      </c>
      <c r="B24" s="9">
        <f>B22/(B22+B23)</f>
        <v>0.6750068745757821</v>
      </c>
    </row>
    <row r="25" spans="1:2" x14ac:dyDescent="0.25">
      <c r="A25" t="s">
        <v>28</v>
      </c>
      <c r="B25" s="9">
        <f>1-B24</f>
        <v>0.3249931254242179</v>
      </c>
    </row>
    <row r="26" spans="1:2" x14ac:dyDescent="0.25">
      <c r="A26" t="s">
        <v>29</v>
      </c>
      <c r="B26" s="11">
        <f>B24*B20+B25*B21*(1-B8)</f>
        <v>0.07360587798881475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17271900000</v>
      </c>
      <c r="C29" s="6" t="s">
        <v>32</v>
      </c>
    </row>
    <row r="30" spans="1:2" x14ac:dyDescent="0.25">
      <c r="A30" t="s">
        <v>33</v>
      </c>
      <c r="B30" s="10">
        <v>3852400000</v>
      </c>
    </row>
    <row r="31" spans="1:2" x14ac:dyDescent="0.25">
      <c r="A31" t="s">
        <v>34</v>
      </c>
      <c r="B31" s="12">
        <v>204900000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-0.03508815379616226</v>
      </c>
      <c r="D5" s="5">
        <v>-0.027577134571641976</v>
      </c>
      <c r="E5" s="5">
        <v>-0.020066115347121695</v>
      </c>
      <c r="F5" s="5">
        <v>-0.01255509612260141</v>
      </c>
      <c r="G5" s="5">
        <v>-0.005044076898081128</v>
      </c>
      <c r="H5" s="5">
        <v>0.0024669423264391532</v>
      </c>
      <c r="I5" s="5">
        <v>0.009977961550959438</v>
      </c>
      <c r="J5" s="5">
        <v>0.017488980775479716</v>
      </c>
      <c r="K5" s="5">
        <v>0.025</v>
      </c>
    </row>
    <row r="6" spans="1:11" x14ac:dyDescent="0.25">
      <c r="A6" t="s">
        <v>50</v>
      </c>
      <c r="B6" s="18">
        <f>Assumptions!B29*(1+B5)</f>
        <v>25907850000</v>
      </c>
      <c r="C6" s="18">
        <f>B6*(1+C5)</f>
        <v>24998791374.672096</v>
      </c>
      <c r="D6" s="18">
        <f>C6*(1+D5)</f>
        <v>24309396340.80436</v>
      </c>
      <c r="E6" s="18">
        <f>D6*(1+E5)</f>
        <v>23821601189.810883</v>
      </c>
      <c r="F6" s="18">
        <f>E6*(1+F5)</f>
        <v>23522518697.07853</v>
      </c>
      <c r="G6" s="18">
        <f>F6*(1+G5)</f>
        <v>23403869303.933914</v>
      </c>
      <c r="H6" s="18">
        <f>G6*(1+H5)</f>
        <v>23461605299.72224</v>
      </c>
      <c r="I6" s="18">
        <f>H6*(1+I5)</f>
        <v>23695704295.326656</v>
      </c>
      <c r="J6" s="18">
        <f>I6*(1+J5)</f>
        <v>24110118012.209076</v>
      </c>
      <c r="K6" s="18">
        <f>J6*(1+K5)</f>
        <v>24712870962.5143</v>
      </c>
    </row>
    <row r="7" spans="1:11" x14ac:dyDescent="0.25">
      <c r="A7" t="s">
        <v>4</v>
      </c>
      <c r="B7" s="9">
        <f>Assumptions!B7</f>
        <v>0.11494399672195164</v>
      </c>
      <c r="C7" s="9">
        <f>Assumptions!B7</f>
        <v>0.11494399672195164</v>
      </c>
      <c r="D7" s="9">
        <f>Assumptions!B7</f>
        <v>0.11494399672195164</v>
      </c>
      <c r="E7" s="9">
        <f>Assumptions!B7</f>
        <v>0.11494399672195164</v>
      </c>
      <c r="F7" s="9">
        <f>Assumptions!B7</f>
        <v>0.11494399672195164</v>
      </c>
      <c r="G7" s="9">
        <f>Assumptions!B7</f>
        <v>0.11494399672195164</v>
      </c>
      <c r="H7" s="9">
        <f>Assumptions!B7</f>
        <v>0.11494399672195164</v>
      </c>
      <c r="I7" s="9">
        <f>Assumptions!B7</f>
        <v>0.11494399672195164</v>
      </c>
      <c r="J7" s="9">
        <f>Assumptions!B7</f>
        <v>0.11494399672195164</v>
      </c>
      <c r="K7" s="9">
        <f>Assumptions!B7</f>
        <v>0.11494399672195164</v>
      </c>
    </row>
    <row r="8" spans="1:11" x14ac:dyDescent="0.25">
      <c r="A8" t="s">
        <v>51</v>
      </c>
      <c r="B8" s="18">
        <f>B6*B7</f>
        <v>2977951825.472815</v>
      </c>
      <c r="C8" s="18">
        <f>C6*C7</f>
        <v>2873460993.8230624</v>
      </c>
      <c r="D8" s="18">
        <f>D6*D7</f>
        <v>2794219173.3100395</v>
      </c>
      <c r="E8" s="18">
        <f>E6*E7</f>
        <v>2738150049.0732613</v>
      </c>
      <c r="F8" s="18">
        <f>F6*F7</f>
        <v>2703772312.009041</v>
      </c>
      <c r="G8" s="18">
        <f>G6*G7</f>
        <v>2690134276.5523643</v>
      </c>
      <c r="H8" s="18">
        <f>H6*H7</f>
        <v>2696770682.6629963</v>
      </c>
      <c r="I8" s="18">
        <f>I6*I7</f>
        <v>2723678956.8463626</v>
      </c>
      <c r="J8" s="18">
        <f>J6*J7</f>
        <v>2771313325.761227</v>
      </c>
      <c r="K8" s="18">
        <f>K6*K7</f>
        <v>2840596158.9052577</v>
      </c>
    </row>
    <row r="9" spans="1:11" x14ac:dyDescent="0.25">
      <c r="A9" t="s">
        <v>52</v>
      </c>
      <c r="B9" s="18">
        <f>B8*(1-Assumptions!B8)</f>
        <v>2352581942.123524</v>
      </c>
      <c r="C9" s="18">
        <f>C8*(1-Assumptions!B8)</f>
        <v>2270034185.120219</v>
      </c>
      <c r="D9" s="18">
        <f>D8*(1-Assumptions!B8)</f>
        <v>2207433146.9149313</v>
      </c>
      <c r="E9" s="18">
        <f>E8*(1-Assumptions!B8)</f>
        <v>2163138538.7678766</v>
      </c>
      <c r="F9" s="18">
        <f>F8*(1-Assumptions!B8)</f>
        <v>2135980126.4871423</v>
      </c>
      <c r="G9" s="18">
        <f>G8*(1-Assumptions!B8)</f>
        <v>2125206078.476368</v>
      </c>
      <c r="H9" s="18">
        <f>H8*(1-Assumptions!B8)</f>
        <v>2130448839.3037672</v>
      </c>
      <c r="I9" s="18">
        <f>I8*(1-Assumptions!B8)</f>
        <v>2151706375.9086266</v>
      </c>
      <c r="J9" s="18">
        <f>J8*(1-Assumptions!B8)</f>
        <v>2189337527.3513694</v>
      </c>
      <c r="K9" s="18">
        <f>K8*(1-Assumptions!B8)</f>
        <v>2244070965.535154</v>
      </c>
    </row>
    <row r="10" spans="1:11" x14ac:dyDescent="0.25">
      <c r="A10" t="s">
        <v>53</v>
      </c>
      <c r="B10" s="18">
        <f>B6*Assumptions!B9</f>
        <v>396055700.6943396</v>
      </c>
      <c r="C10" s="18">
        <f>C6*Assumptions!B9</f>
        <v>382158837.3565298</v>
      </c>
      <c r="D10" s="18">
        <f>D6*Assumptions!B9</f>
        <v>371619991.67100644</v>
      </c>
      <c r="E10" s="18">
        <f>E6*Assumptions!B9</f>
        <v>364163022.0528397</v>
      </c>
      <c r="F10" s="18">
        <f>F6*Assumptions!B9</f>
        <v>359590920.30666924</v>
      </c>
      <c r="G10" s="18">
        <f>G6*Assumptions!B9</f>
        <v>357777116.05279064</v>
      </c>
      <c r="H10" s="18">
        <f>H6*Assumptions!B9</f>
        <v>358659731.5638126</v>
      </c>
      <c r="I10" s="18">
        <f>I6*Assumptions!B9</f>
        <v>362238424.5752338</v>
      </c>
      <c r="J10" s="18">
        <f>J6*Assumptions!B9</f>
        <v>368573605.41877013</v>
      </c>
      <c r="K10" s="18">
        <f>K6*Assumptions!B9</f>
        <v>377787945.55423933</v>
      </c>
    </row>
    <row r="11" spans="1:11" x14ac:dyDescent="0.25">
      <c r="A11" t="s">
        <v>54</v>
      </c>
      <c r="B11" s="18">
        <f>-B6*B19</f>
        <v>-259078500</v>
      </c>
      <c r="C11" s="18">
        <f>-C6*C19</f>
        <v>-284529034.7153695</v>
      </c>
      <c r="D11" s="18">
        <f>-D6*D19</f>
        <v>-310271115.0629251</v>
      </c>
      <c r="E11" s="18">
        <f>-E6*E19</f>
        <v>-336959762.6697342</v>
      </c>
      <c r="F11" s="18">
        <f>-F6*F19</f>
        <v>-365230538.28969383</v>
      </c>
      <c r="G11" s="18">
        <f>-G6*G19</f>
        <v>-395725685.95145655</v>
      </c>
      <c r="H11" s="18">
        <f>-H6*H19</f>
        <v>-429119091.4755028</v>
      </c>
      <c r="I11" s="18">
        <f>-I6*I19</f>
        <v>-466141455.6573216</v>
      </c>
      <c r="J11" s="18">
        <f>-J6*J19</f>
        <v>-507607025.25566316</v>
      </c>
      <c r="K11" s="18">
        <f>-K6*K19</f>
        <v>-554443262.2947937</v>
      </c>
    </row>
    <row r="12" spans="1:11" x14ac:dyDescent="0.25">
      <c r="A12" t="s">
        <v>55</v>
      </c>
      <c r="B12" s="18">
        <f>-(B6-Assumptions!B29)*Assumptions!B11</f>
        <v>977704342.4022036</v>
      </c>
      <c r="C12" s="18">
        <f>-(C6-B6)*Assumptions!B11</f>
        <v>-102917521.00015277</v>
      </c>
      <c r="D12" s="18">
        <f>-(D6-C6)*Assumptions!B11</f>
        <v>-78048682.33871207</v>
      </c>
      <c r="E12" s="18">
        <f>-(E6-D6)*Assumptions!B11</f>
        <v>-55224895.61994463</v>
      </c>
      <c r="F12" s="18">
        <f>-(F6-E6)*Assumptions!B11</f>
        <v>-33860114.04430285</v>
      </c>
      <c r="G12" s="18">
        <f>-(G6-F6)*Assumptions!B11</f>
        <v>-13432688.575185878</v>
      </c>
      <c r="H12" s="18">
        <f>-(H6-G6)*Assumptions!B11</f>
        <v>6536482.239378635</v>
      </c>
      <c r="I12" s="18">
        <f>-(I6-H6)*Assumptions!B11</f>
        <v>26503118.30828476</v>
      </c>
      <c r="J12" s="18">
        <f>-(J6-I6)*Assumptions!B11</f>
        <v>46917141.77907225</v>
      </c>
      <c r="K12" s="18">
        <f>-(K6-J6)*Assumptions!B11</f>
        <v>68239646.69887602</v>
      </c>
    </row>
    <row r="13" spans="1:11" x14ac:dyDescent="0.25">
      <c r="A13" s="19" t="s">
        <v>56</v>
      </c>
      <c r="B13" s="20">
        <f>B9+B10+B11+B12</f>
        <v>3467263485.2200675</v>
      </c>
      <c r="C13" s="20">
        <f>C9+C10+C11+C12</f>
        <v>2264746466.7612267</v>
      </c>
      <c r="D13" s="20">
        <f>D9+D10+D11+D12</f>
        <v>2190733341.1843</v>
      </c>
      <c r="E13" s="20">
        <f>E9+E10+E11+E12</f>
        <v>2135116902.5310378</v>
      </c>
      <c r="F13" s="20">
        <f>F9+F10+F11+F12</f>
        <v>2096480394.459815</v>
      </c>
      <c r="G13" s="20">
        <f>G9+G10+G11+G12</f>
        <v>2073824820.0025163</v>
      </c>
      <c r="H13" s="20">
        <f>H9+H10+H11+H12</f>
        <v>2066525961.631456</v>
      </c>
      <c r="I13" s="20">
        <f>I9+I10+I11+I12</f>
        <v>2074306463.1348238</v>
      </c>
      <c r="J13" s="20">
        <f>J9+J10+J11+J12</f>
        <v>2097221249.2935488</v>
      </c>
      <c r="K13" s="20">
        <f>K9+K10+K11+K12</f>
        <v>2135655295.4934754</v>
      </c>
    </row>
    <row r="14" spans="1:11" x14ac:dyDescent="0.25">
      <c r="A14" t="s">
        <v>57</v>
      </c>
      <c r="B14" s="21">
        <f>1/(1+Assumptions!$B$26)^(1-0.5*Assumptions!$B$32)</f>
        <v>0.9651116536002418</v>
      </c>
      <c r="C14" s="21">
        <f>1/(1+Assumptions!$B$26)^(2-0.5*Assumptions!$B$32)</f>
        <v>0.8989440849636412</v>
      </c>
      <c r="D14" s="21">
        <f>1/(1+Assumptions!$B$26)^(3-0.5*Assumptions!$B$32)</f>
        <v>0.8373129314899364</v>
      </c>
      <c r="E14" s="21">
        <f>1/(1+Assumptions!$B$26)^(4-0.5*Assumptions!$B$32)</f>
        <v>0.7799071788415263</v>
      </c>
      <c r="F14" s="21">
        <f>1/(1+Assumptions!$B$26)^(5-0.5*Assumptions!$B$32)</f>
        <v>0.7264371356670718</v>
      </c>
      <c r="G14" s="21">
        <f>1/(1+Assumptions!$B$26)^(6-0.5*Assumptions!$B$32)</f>
        <v>0.6766329717083014</v>
      </c>
      <c r="H14" s="21">
        <f>1/(1+Assumptions!$B$26)^(7-0.5*Assumptions!$B$32)</f>
        <v>0.6302433561334795</v>
      </c>
      <c r="I14" s="21">
        <f>1/(1+Assumptions!$B$26)^(8-0.5*Assumptions!$B$32)</f>
        <v>0.5870341892260444</v>
      </c>
      <c r="J14" s="21">
        <f>1/(1+Assumptions!$B$26)^(9-0.5*Assumptions!$B$32)</f>
        <v>0.5467874210280362</v>
      </c>
      <c r="K14" s="21">
        <f>1/(1+Assumptions!$B$26)^(10-0.5*Assumptions!$B$32)</f>
        <v>0.5092999509767334</v>
      </c>
    </row>
    <row r="15" spans="1:11" x14ac:dyDescent="0.25">
      <c r="A15" s="19" t="s">
        <v>58</v>
      </c>
      <c r="B15" s="20">
        <f>B13*B14</f>
        <v>3346296395.6884766</v>
      </c>
      <c r="C15" s="20">
        <f>C13*C14</f>
        <v>2035880440.2373104</v>
      </c>
      <c r="D15" s="20">
        <f>D13*D14</f>
        <v>1834329356.0197692</v>
      </c>
      <c r="E15" s="20">
        <f>E13*E14</f>
        <v>1665192999.9498398</v>
      </c>
      <c r="F15" s="20">
        <f>F13*F14</f>
        <v>1522961212.7335608</v>
      </c>
      <c r="G15" s="20">
        <f>G13*G14</f>
        <v>1403218250.7607358</v>
      </c>
      <c r="H15" s="20">
        <f>H13*H14</f>
        <v>1302414257.5955749</v>
      </c>
      <c r="I15" s="20">
        <f>I13*I14</f>
        <v>1217688812.792695</v>
      </c>
      <c r="J15" s="20">
        <f>J13*J14</f>
        <v>1146734198.2264159</v>
      </c>
      <c r="K15" s="20">
        <f>K13*K14</f>
        <v>1087689137.2980282</v>
      </c>
    </row>
    <row r="17" spans="1:2" x14ac:dyDescent="0.25">
      <c r="A17" s="22" t="s">
        <v>59</v>
      </c>
      <c r="B17" s="23">
        <f>SUM(B15:K15)</f>
        <v>16562405061.30241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0.011381711637613185</v>
      </c>
      <c r="D19" s="9">
        <f>Assumptions!$B$10+($B$20-Assumptions!$B$10)*2/9</f>
        <v>0.01276342327522637</v>
      </c>
      <c r="E19" s="9">
        <f>Assumptions!$B$10+($B$20-Assumptions!$B$10)*3/9</f>
        <v>0.014145134912839554</v>
      </c>
      <c r="F19" s="9">
        <f>Assumptions!$B$10+($B$20-Assumptions!$B$10)*4/9</f>
        <v>0.01552684655045274</v>
      </c>
      <c r="G19" s="9">
        <f>Assumptions!$B$10+($B$20-Assumptions!$B$10)*5/9</f>
        <v>0.016908558188065925</v>
      </c>
      <c r="H19" s="9">
        <f>Assumptions!$B$10+($B$20-Assumptions!$B$10)*6/9</f>
        <v>0.01829026982567911</v>
      </c>
      <c r="I19" s="9">
        <f>Assumptions!$B$10+($B$20-Assumptions!$B$10)*7/9</f>
        <v>0.019671981463292295</v>
      </c>
      <c r="J19" s="9">
        <f>Assumptions!$B$10+($B$20-Assumptions!$B$10)*8/9</f>
        <v>0.02105369310090548</v>
      </c>
      <c r="K19" s="9">
        <f>Assumptions!$B$10+($B$20-Assumptions!$B$10)*9/9</f>
        <v>0.022435404738518665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0.022435404738518665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2135655295.4934754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2368215145.9444504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0.1409499679435167</v>
      </c>
    </row>
    <row r="7" spans="1:2" x14ac:dyDescent="0.25">
      <c r="A7" t="s">
        <v>66</v>
      </c>
      <c r="B7" s="18">
        <f>-MAX(B5,0)*B6</f>
        <v>-333799848.904221</v>
      </c>
    </row>
    <row r="8" spans="1:2" x14ac:dyDescent="0.25">
      <c r="A8" t="s">
        <v>67</v>
      </c>
      <c r="B8" s="18">
        <f>IF(OR(Assumptions!$B$33=0,Assumptions!B12&lt;=0),B5,MAX(B5+B7,0))</f>
        <v>2034415297.0402293</v>
      </c>
    </row>
    <row r="9" spans="1:2" x14ac:dyDescent="0.25">
      <c r="A9" t="s">
        <v>68</v>
      </c>
      <c r="B9" s="18">
        <f>B8*(1+Assumptions!B12)/(Assumptions!B26-Assumptions!B12)</f>
        <v>42901718182.02937</v>
      </c>
    </row>
    <row r="10" spans="1:2" x14ac:dyDescent="0.25">
      <c r="A10" t="s">
        <v>69</v>
      </c>
      <c r="B10" s="18">
        <f>B9/(1+Assumptions!B26)^(10-0.5*Assumptions!B32)</f>
        <v>21849842966.925194</v>
      </c>
    </row>
    <row r="11" spans="1:2" x14ac:dyDescent="0.25">
      <c r="A11" t="s">
        <v>70</v>
      </c>
      <c r="B11" s="18">
        <f>Forecast!B17+B10</f>
        <v>38412248028.2276</v>
      </c>
    </row>
    <row r="12" spans="1:2" x14ac:dyDescent="0.25">
      <c r="A12" t="s">
        <v>71</v>
      </c>
      <c r="B12" s="18">
        <f>-Assumptions!B30</f>
        <v>-3852400000</v>
      </c>
    </row>
    <row r="13" spans="1:2" x14ac:dyDescent="0.25">
      <c r="A13" t="s">
        <v>72</v>
      </c>
      <c r="B13" s="18">
        <f>B11+B12</f>
        <v>34559848028.2276</v>
      </c>
    </row>
    <row r="14" spans="1:2" x14ac:dyDescent="0.25">
      <c r="A14" s="19" t="s">
        <v>73</v>
      </c>
      <c r="B14" s="24">
        <f>B13/Assumptions!B31</f>
        <v>168.6669010650444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3218384104.459497</v>
      </c>
    </row>
    <row r="18" spans="1:2" x14ac:dyDescent="0.25">
      <c r="A18" t="s">
        <v>68</v>
      </c>
      <c r="B18" s="18">
        <f>B17*Assumptions!B13</f>
        <v>64367682089.18994</v>
      </c>
    </row>
    <row r="19" spans="1:2" x14ac:dyDescent="0.25">
      <c r="A19" t="s">
        <v>69</v>
      </c>
      <c r="B19" s="18">
        <f>B18/(1+Assumptions!B26)^(10-0.5*Assumptions!B32)</f>
        <v>32782457332.5104</v>
      </c>
    </row>
    <row r="20" spans="1:2" x14ac:dyDescent="0.25">
      <c r="A20" t="s">
        <v>70</v>
      </c>
      <c r="B20" s="18">
        <f>Forecast!B17+B19</f>
        <v>49344862393.812805</v>
      </c>
    </row>
    <row r="21" spans="1:2" x14ac:dyDescent="0.25">
      <c r="A21" t="s">
        <v>71</v>
      </c>
      <c r="B21" s="18">
        <f>-Assumptions!B30</f>
        <v>-3852400000</v>
      </c>
    </row>
    <row r="22" spans="1:2" x14ac:dyDescent="0.25">
      <c r="A22" t="s">
        <v>72</v>
      </c>
      <c r="B22" s="18">
        <f>B20+B21</f>
        <v>45492462393.812805</v>
      </c>
    </row>
    <row r="23" spans="1:2" x14ac:dyDescent="0.25">
      <c r="A23" s="19" t="s">
        <v>73</v>
      </c>
      <c r="B23" s="25">
        <f>B22/Assumptions!B31</f>
        <v>222.0227544842011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81.26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168.6669010650444</v>
      </c>
    </row>
    <row r="29" spans="1:2" x14ac:dyDescent="0.25">
      <c r="A29" s="19" t="s">
        <v>81</v>
      </c>
      <c r="B29" s="11">
        <f>B28/B26-1</f>
        <v>1.075644856818169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0.053606</v>
      </c>
      <c r="B5" s="31">
        <v>240.19777749249786</v>
      </c>
      <c r="C5" s="31">
        <v>259.2242040226065</v>
      </c>
      <c r="D5" s="31">
        <v>285.22118595128836</v>
      </c>
      <c r="E5" s="31">
        <v>322.6180349356902</v>
      </c>
      <c r="F5" s="31">
        <v>380.6052274799396</v>
      </c>
    </row>
    <row r="6" spans="1:6" x14ac:dyDescent="0.25">
      <c r="A6" s="30">
        <v>0.063606</v>
      </c>
      <c r="B6" s="31">
        <v>190.27715484296414</v>
      </c>
      <c r="C6" s="31">
        <v>199.76715963261594</v>
      </c>
      <c r="D6" s="31">
        <v>211.93906983803856</v>
      </c>
      <c r="E6" s="31">
        <v>227.989950901015</v>
      </c>
      <c r="F6" s="31">
        <v>249.9538013835011</v>
      </c>
    </row>
    <row r="7" spans="1:6" x14ac:dyDescent="0.25">
      <c r="A7" s="30">
        <v>0.073606</v>
      </c>
      <c r="B7" s="31">
        <v>157.322706340573</v>
      </c>
      <c r="C7" s="31">
        <v>162.38931569393023</v>
      </c>
      <c r="D7" s="32">
        <v>168.6664808786091</v>
      </c>
      <c r="E7" s="31">
        <v>176.5706202193774</v>
      </c>
      <c r="F7" s="31">
        <v>186.7338792983037</v>
      </c>
    </row>
    <row r="8" spans="1:6" x14ac:dyDescent="0.25">
      <c r="A8" s="30">
        <v>0.083606</v>
      </c>
      <c r="B8" s="31">
        <v>133.91970988840066</v>
      </c>
      <c r="C8" s="31">
        <v>136.6832688360528</v>
      </c>
      <c r="D8" s="31">
        <v>140.05048640076643</v>
      </c>
      <c r="E8" s="31">
        <v>144.1902779885768</v>
      </c>
      <c r="F8" s="31">
        <v>149.34106293755835</v>
      </c>
    </row>
    <row r="9" spans="1:6" x14ac:dyDescent="0.25">
      <c r="A9" s="30">
        <v>0.093606</v>
      </c>
      <c r="B9" s="31">
        <v>116.42619608312656</v>
      </c>
      <c r="C9" s="31">
        <v>117.89683948306988</v>
      </c>
      <c r="D9" s="31">
        <v>119.68882834398437</v>
      </c>
      <c r="E9" s="31">
        <v>121.87794454045046</v>
      </c>
      <c r="F9" s="31">
        <v>124.56583142013346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17271900000</v>
      </c>
      <c r="C5" s="18">
        <v>15689100000</v>
      </c>
      <c r="D5" s="18">
        <v>14692200000</v>
      </c>
      <c r="E5" s="18">
        <v>14289100000</v>
      </c>
      <c r="F5" s="6" t="s">
        <v>91</v>
      </c>
    </row>
    <row r="6" spans="1:6" x14ac:dyDescent="0.25">
      <c r="A6" t="s">
        <v>51</v>
      </c>
      <c r="B6" s="18">
        <v>444700000</v>
      </c>
      <c r="C6" s="18">
        <v>2274600000</v>
      </c>
      <c r="D6" s="18">
        <v>2104700000</v>
      </c>
      <c r="E6" s="18">
        <v>2083300000</v>
      </c>
      <c r="F6" s="6" t="s">
        <v>92</v>
      </c>
    </row>
    <row r="7" spans="1:6" x14ac:dyDescent="0.25">
      <c r="A7" t="s">
        <v>93</v>
      </c>
      <c r="B7" s="18">
        <v>276700000</v>
      </c>
      <c r="C7" s="18">
        <v>241700000</v>
      </c>
      <c r="D7" s="18">
        <v>211100000</v>
      </c>
      <c r="E7" s="18">
        <v>219400000</v>
      </c>
      <c r="F7" s="6" t="s">
        <v>94</v>
      </c>
    </row>
    <row r="8" spans="1:6" x14ac:dyDescent="0.25">
      <c r="A8" t="s">
        <v>95</v>
      </c>
      <c r="B8" s="18">
        <v>149800000</v>
      </c>
      <c r="C8" s="18">
        <v>140600000</v>
      </c>
      <c r="D8" s="18">
        <v>78400000</v>
      </c>
      <c r="E8" s="18">
        <v>78200000</v>
      </c>
      <c r="F8" s="6" t="s">
        <v>96</v>
      </c>
    </row>
    <row r="9" spans="1:6" x14ac:dyDescent="0.25">
      <c r="A9" t="s">
        <v>97</v>
      </c>
      <c r="B9" s="18">
        <v>-712100000</v>
      </c>
      <c r="C9" s="18">
        <v>231200000</v>
      </c>
      <c r="D9" s="18">
        <v>462900000</v>
      </c>
      <c r="E9" s="18">
        <v>844000000</v>
      </c>
      <c r="F9" s="6" t="s">
        <v>98</v>
      </c>
    </row>
    <row r="10" spans="1:6" x14ac:dyDescent="0.25">
      <c r="A10" t="s">
        <v>99</v>
      </c>
      <c r="B10" s="18">
        <v>10733500000</v>
      </c>
      <c r="C10" s="18">
        <v>6870800000</v>
      </c>
      <c r="D10" s="18">
        <v>6503500000</v>
      </c>
      <c r="E10" s="18">
        <v>6494100000</v>
      </c>
      <c r="F10" s="6" t="s">
        <v>100</v>
      </c>
    </row>
    <row r="11" spans="1:6" x14ac:dyDescent="0.25">
      <c r="A11" t="s">
        <v>101</v>
      </c>
      <c r="B11" s="18">
        <v>6881100000</v>
      </c>
      <c r="C11" s="18">
        <v>4339400000</v>
      </c>
      <c r="D11" s="18">
        <v>4432000000</v>
      </c>
      <c r="E11" s="18">
        <v>4342500000</v>
      </c>
      <c r="F11" s="6" t="s">
        <v>102</v>
      </c>
    </row>
    <row r="12" spans="1:6" x14ac:dyDescent="0.25">
      <c r="A12" t="s">
        <v>34</v>
      </c>
      <c r="B12" s="34">
        <v>204900000</v>
      </c>
      <c r="C12" s="34">
        <v>198600000</v>
      </c>
      <c r="D12" s="34">
        <v>201400000</v>
      </c>
      <c r="E12" s="34">
        <v>207000000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