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<sst xmlns="http://schemas.openxmlformats.org/spreadsheetml/2006/main" count="113" uniqueCount="101">
  <si>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Omnicom Group Inc. (OMC)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</si>
  <si>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</si>
  <si>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</si>
  <si>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</si>
  <si>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</si>
  <si>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</si>
  <si>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</si>
  <si>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</si>
  <si>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</si>
  <si>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</si>
  <si>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</si>
  <si>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</si>
  <si>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</si>
  <si>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</si>
  <si>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</si>
  <si>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</si>
  <si>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</si>
  <si>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</si>
  <si>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</si>
  <si>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</si>
  <si>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</si>
  <si>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</si>
  <si>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</si>
  <si>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</si>
  <si>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</si>
  <si>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</si>
  <si>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</si>
  <si>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</si>
  <si>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</si>
  <si>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</si>
  <si>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</si>
  <si>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</si>
  <si>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</si>
  <si>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</si>
  <si>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</si>
  <si>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</si>
  <si>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</si>
  <si>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</si>
  <si>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</si>
  <si>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</si>
  <si>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</si>
  <si>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</si>
  <si>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</si>
  <si>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</si>
  <si>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</si>
  <si>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</si>
  <si>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</si>
  <si>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</si>
  <si>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</si>
  <si>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</si>
  <si>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</si>
  <si>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</si>
  <si>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</si>
  <si>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</si>
  <si>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</si>
  <si>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</si>
  <si>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</si>
  <si>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</si>
  <si>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</si>
  <si>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</si>
  <si>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</si>
  <si>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</si>
  <si>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</si>
  <si>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</si>
  <si>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</si>
  <si>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</si>
  <si>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</si>
  <si>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</si>
  <si>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</si>
  <si>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</si>
  <si>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</si>
  <si>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</si>
  <si>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</si>
  <si>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</si>
  <si>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</si>
  <si>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</si>
  <si>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</si>
  <si>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</si>
  <si>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</si>
  <si>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</si>
  <si>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</si>
  <si>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</si>
  <si>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</si>
  <si>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</si>
  <si>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</si>
  <si>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</si>
  <si>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</si>
  <si>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</si>
  <si>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</si>
  <si>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</si>
  <si>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</si>
  <si>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</si>
  <si>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</si>
  <si>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</si>
  <si>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</si>
  <si>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</si>
  <si>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</si>
  <si>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</si>
  <si>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0.71%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</si>
  <si>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Current EV/EBITDA of 34.5x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</si>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</sst>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0.06523414722082599</v>
      </c>
    </row>
    <row r="7" spans="1:2" x14ac:dyDescent="0.25">
      <c r="A7" t="s">
        <v>5</v>
      </c>
      <c r="B7" s="6">
        <v>0.11494399672195164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0.015287092548950977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0.2319189487410974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0.17736790128266172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0.78091</v>
      </c>
      <c r="C19" s="8" t="s">
        <v>19</v>
      </c>
    </row>
    <row r="20" spans="1:2" x14ac:dyDescent="0.25">
      <c r="A20" t="s">
        <v>20</v>
      </c>
      <c r="B20" s="10">
        <f>B17+B19*B18</f>
        <v>0.09293005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21006669824</v>
      </c>
    </row>
    <row r="23" spans="1:2" x14ac:dyDescent="0.25">
      <c r="A23" t="s">
        <v>24</v>
      </c>
      <c r="B23" s="11">
        <v>10733500000</v>
      </c>
    </row>
    <row r="24" spans="1:2" x14ac:dyDescent="0.25">
      <c r="A24" t="s">
        <v>25</v>
      </c>
      <c r="B24" s="10">
        <f>B22/(B22+B23)</f>
        <v>0.6618323071515523</v>
      </c>
    </row>
    <row r="25" spans="1:2" x14ac:dyDescent="0.25">
      <c r="A25" t="s">
        <v>26</v>
      </c>
      <c r="B25" s="10">
        <f>1-B24</f>
        <v>0.3381676928484477</v>
      </c>
    </row>
    <row r="26" spans="1:2" x14ac:dyDescent="0.25">
      <c r="A26" t="s">
        <v>27</v>
      </c>
      <c r="B26" s="12">
        <f>B24*B20+B25*B21*(1-B8)</f>
        <v>0.07485639021317579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17271900000</v>
      </c>
      <c r="C29" s="8" t="s">
        <v>30</v>
      </c>
    </row>
    <row r="30" spans="1:2" x14ac:dyDescent="0.25">
      <c r="A30" t="s">
        <v>31</v>
      </c>
      <c r="B30" s="11">
        <v>3852400000</v>
      </c>
    </row>
    <row r="31" spans="1:2" x14ac:dyDescent="0.25">
      <c r="A31" t="s">
        <v>32</v>
      </c>
      <c r="B31" s="13">
        <v>313100000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0.06523414722082599</v>
      </c>
      <c r="C5" s="10">
        <f>Assumptions!B6</f>
        <v>0.06523414722082599</v>
      </c>
      <c r="D5" s="10">
        <f>Assumptions!B6</f>
        <v>0.06523414722082599</v>
      </c>
      <c r="E5" s="10">
        <f>Assumptions!B6</f>
        <v>0.06523414722082599</v>
      </c>
      <c r="F5" s="10">
        <f>Assumptions!B6</f>
        <v>0.06523414722082599</v>
      </c>
    </row>
    <row r="6" spans="1:6" x14ac:dyDescent="0.25">
      <c r="A6" t="s">
        <v>43</v>
      </c>
      <c r="B6" s="18">
        <f>Assumptions!B29*(1+B5)</f>
        <v>18398617667.383385</v>
      </c>
      <c r="C6" s="18">
        <f>B6*(1+C5)</f>
        <v>19598835800.95716</v>
      </c>
      <c r="D6" s="18">
        <f>C6*(1+D5)</f>
        <v>20877349140.953594</v>
      </c>
      <c r="E6" s="18">
        <f>D6*(1+E5)</f>
        <v>22239265208.395145</v>
      </c>
      <c r="F6" s="18">
        <f>E6*(1+F5)</f>
        <v>23690024709.08259</v>
      </c>
    </row>
    <row r="7" spans="1:6" x14ac:dyDescent="0.25">
      <c r="A7" t="s">
        <v>5</v>
      </c>
      <c r="B7" s="10">
        <f>Assumptions!B7</f>
        <v>0.11494399672195164</v>
      </c>
      <c r="C7" s="10">
        <f>Assumptions!B7</f>
        <v>0.11494399672195164</v>
      </c>
      <c r="D7" s="10">
        <f>Assumptions!B7</f>
        <v>0.11494399672195164</v>
      </c>
      <c r="E7" s="10">
        <f>Assumptions!B7</f>
        <v>0.11494399672195164</v>
      </c>
      <c r="F7" s="10">
        <f>Assumptions!B7</f>
        <v>0.11494399672195164</v>
      </c>
    </row>
    <row r="8" spans="1:6" x14ac:dyDescent="0.25">
      <c r="A8" t="s">
        <v>44</v>
      </c>
      <c r="B8" s="18">
        <f>B6*B7</f>
        <v>2114810648.8481574</v>
      </c>
      <c r="C8" s="18">
        <f>C6*C7</f>
        <v>2252768518.0592885</v>
      </c>
      <c r="D8" s="18">
        <f>D6*D7</f>
        <v>2399725951.22081</v>
      </c>
      <c r="E8" s="18">
        <f>E6*E7</f>
        <v>2556270027.2123847</v>
      </c>
      <c r="F8" s="18">
        <f>F6*F7</f>
        <v>2723026122.5037427</v>
      </c>
    </row>
    <row r="9" spans="1:6" x14ac:dyDescent="0.25">
      <c r="A9" t="s">
        <v>45</v>
      </c>
      <c r="B9" s="18">
        <f>B8*(1-Assumptions!B8)</f>
        <v>1670700412.5900445</v>
      </c>
      <c r="C9" s="18">
        <f>C8*(1-Assumptions!B8)</f>
        <v>1779687129.266838</v>
      </c>
      <c r="D9" s="18">
        <f>D8*(1-Assumptions!B8)</f>
        <v>1895783501.4644399</v>
      </c>
      <c r="E9" s="18">
        <f>E8*(1-Assumptions!B8)</f>
        <v>2019453321.497784</v>
      </c>
      <c r="F9" s="18">
        <f>F8*(1-Assumptions!B8)</f>
        <v>2151190636.777957</v>
      </c>
    </row>
    <row r="10" spans="1:6" x14ac:dyDescent="0.25">
      <c r="A10" t="s">
        <v>46</v>
      </c>
      <c r="B10" s="18">
        <f>B6*Assumptions!B9</f>
        <v>281261371.0540543</v>
      </c>
      <c r="C10" s="18">
        <f>C6*Assumptions!B9</f>
        <v>299609216.74092585</v>
      </c>
      <c r="D10" s="18">
        <f>D6*Assumptions!B9</f>
        <v>319153968.49451977</v>
      </c>
      <c r="E10" s="18">
        <f>E6*Assumptions!B9</f>
        <v>339973705.4614021</v>
      </c>
      <c r="F10" s="18">
        <f>F6*Assumptions!B9</f>
        <v>362151600.21468097</v>
      </c>
    </row>
    <row r="11" spans="1:6" x14ac:dyDescent="0.25">
      <c r="A11" t="s">
        <v>47</v>
      </c>
      <c r="B11" s="18">
        <f>-B6*Assumptions!B10</f>
        <v>-183986176.67383385</v>
      </c>
      <c r="C11" s="18">
        <f>-C6*Assumptions!B10</f>
        <v>-195988358.0095716</v>
      </c>
      <c r="D11" s="18">
        <f>-D6*Assumptions!B10</f>
        <v>-208773491.40953594</v>
      </c>
      <c r="E11" s="18">
        <f>-E6*Assumptions!B10</f>
        <v>-222392652.08395147</v>
      </c>
      <c r="F11" s="18">
        <f>-F6*Assumptions!B10</f>
        <v>-236900247.0908259</v>
      </c>
    </row>
    <row r="12" spans="1:6" x14ac:dyDescent="0.25">
      <c r="A12" t="s">
        <v>48</v>
      </c>
      <c r="B12" s="18">
        <f>-(B6-Assumptions!B29)*Assumptions!B11</f>
        <v>-261307176.94757602</v>
      </c>
      <c r="C12" s="18">
        <f>-(C6-B6)*Assumptions!B11</f>
        <v>-278353327.7984322</v>
      </c>
      <c r="D12" s="18">
        <f>-(D6-C6)*Assumptions!B11</f>
        <v>-296511469.76344204</v>
      </c>
      <c r="E12" s="18">
        <f>-(E6-D6)*Assumptions!B11</f>
        <v>-315854142.63465405</v>
      </c>
      <c r="F12" s="18">
        <f>-(F6-E6)*Assumptions!B11</f>
        <v>-336458618.2755911</v>
      </c>
    </row>
    <row r="13" spans="1:6" x14ac:dyDescent="0.25">
      <c r="A13" s="19" t="s">
        <v>49</v>
      </c>
      <c r="B13" s="20">
        <f>B9+B10+B11+B12</f>
        <v>1506668430.0226889</v>
      </c>
      <c r="C13" s="20">
        <f>C9+C10+C11+C12</f>
        <v>1604954660.1997602</v>
      </c>
      <c r="D13" s="20">
        <f>D9+D10+D11+D12</f>
        <v>1709652508.7859817</v>
      </c>
      <c r="E13" s="20">
        <f>E9+E10+E11+E12</f>
        <v>1821180232.2405806</v>
      </c>
      <c r="F13" s="20">
        <f>F9+F10+F11+F12</f>
        <v>1939983371.626221</v>
      </c>
    </row>
    <row r="14" spans="1:6" x14ac:dyDescent="0.25">
      <c r="A14" t="s">
        <v>50</v>
      </c>
      <c r="B14" s="21">
        <f>1/(1+Assumptions!$B$26)^(1-0.5*Assumptions!$B$32)</f>
        <v>0.9645500738557065</v>
      </c>
      <c r="C14" s="21">
        <f>1/(1+Assumptions!$B$26)^(2-0.5*Assumptions!$B$32)</f>
        <v>0.8973757635328452</v>
      </c>
      <c r="D14" s="21">
        <f>1/(1+Assumptions!$B$26)^(3-0.5*Assumptions!$B$32)</f>
        <v>0.8348796841174931</v>
      </c>
      <c r="E14" s="21">
        <f>1/(1+Assumptions!$B$26)^(4-0.5*Assumptions!$B$32)</f>
        <v>0.7767360288493161</v>
      </c>
      <c r="F14" s="21">
        <f>1/(1+Assumptions!$B$26)^(5-0.5*Assumptions!$B$32)</f>
        <v>0.7226416811786982</v>
      </c>
    </row>
    <row r="15" spans="1:6" x14ac:dyDescent="0.25">
      <c r="A15" s="19" t="s">
        <v>51</v>
      </c>
      <c r="B15" s="20">
        <f>B13*B14</f>
        <v>1453257145.4544458</v>
      </c>
      <c r="C15" s="20">
        <f>C13*C14</f>
        <v>1440247413.6323578</v>
      </c>
      <c r="D15" s="20">
        <f>D13*D14</f>
        <v>1427354146.48592</v>
      </c>
      <c r="E15" s="20">
        <f>E13*E14</f>
        <v>1414576301.4094238</v>
      </c>
      <c r="F15" s="20">
        <f>F13*F14</f>
        <v>1401912845.1306915</v>
      </c>
    </row>
    <row r="17" spans="1:2" x14ac:dyDescent="0.25">
      <c r="A17" s="22" t="s">
        <v>52</v>
      </c>
      <c r="B17" s="23">
        <f>SUM(B15:F15)</f>
        <v>7137347852.112839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1939983371.626221</v>
      </c>
    </row>
    <row r="5" spans="1:2" x14ac:dyDescent="0.25">
      <c r="A5" t="s">
        <v>56</v>
      </c>
      <c r="B5" s="18">
        <f>IF(Assumptions!$B$33=0,B4,B4-Forecast!F11-Forecast!F10-Forecast!F12)</f>
        <v>2270196587.395595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0.1409499679435167</v>
      </c>
    </row>
    <row r="7" spans="1:2" x14ac:dyDescent="0.25">
      <c r="A7" t="s">
        <v>58</v>
      </c>
      <c r="B7" s="18">
        <f>-MAX(Forecast!F9,0)*B6</f>
        <v>-319984136.21889013</v>
      </c>
    </row>
    <row r="8" spans="1:2" x14ac:dyDescent="0.25">
      <c r="A8" t="s">
        <v>59</v>
      </c>
      <c r="B8" s="18">
        <f>IF(OR(Assumptions!$B$33=0,Assumptions!B12&lt;=0),B5,MAX(B5+B7,0))</f>
        <v>1950212451.176705</v>
      </c>
    </row>
    <row r="9" spans="1:2" x14ac:dyDescent="0.25">
      <c r="A9" t="s">
        <v>60</v>
      </c>
      <c r="B9" s="18">
        <f>B8*(1+Assumptions!B12)/(Assumptions!B26-Assumptions!B12)</f>
        <v>40094514542.84882</v>
      </c>
    </row>
    <row r="10" spans="1:2" x14ac:dyDescent="0.25">
      <c r="A10" t="s">
        <v>61</v>
      </c>
      <c r="B10" s="18">
        <f>B9/(1+Assumptions!B26)^(5-0.5*Assumptions!B32)</f>
        <v>28973967395.288036</v>
      </c>
    </row>
    <row r="11" spans="1:2" x14ac:dyDescent="0.25">
      <c r="A11" t="s">
        <v>62</v>
      </c>
      <c r="B11" s="18">
        <f>Forecast!B17+B10</f>
        <v>36111315247.40088</v>
      </c>
    </row>
    <row r="12" spans="1:2" x14ac:dyDescent="0.25">
      <c r="A12" t="s">
        <v>63</v>
      </c>
      <c r="B12" s="18">
        <f>-Assumptions!B30</f>
        <v>-3852400000</v>
      </c>
    </row>
    <row r="13" spans="1:2" x14ac:dyDescent="0.25">
      <c r="A13" t="s">
        <v>64</v>
      </c>
      <c r="B13" s="18">
        <f>B11+B12</f>
        <v>32258915247.40088</v>
      </c>
    </row>
    <row r="14" spans="1:2" x14ac:dyDescent="0.25">
      <c r="A14" s="19" t="s">
        <v>65</v>
      </c>
      <c r="B14" s="24">
        <f>B13/Assumptions!B31</f>
        <v>103.0307098288115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3085177722.718424</v>
      </c>
    </row>
    <row r="18" spans="1:2" x14ac:dyDescent="0.25">
      <c r="A18" t="s">
        <v>60</v>
      </c>
      <c r="B18" s="18">
        <f>B17*Assumptions!B13</f>
        <v>61703554454.36848</v>
      </c>
    </row>
    <row r="19" spans="1:2" x14ac:dyDescent="0.25">
      <c r="A19" t="s">
        <v>61</v>
      </c>
      <c r="B19" s="18">
        <f>B18/(1+Assumptions!B26)^(5-0.5*Assumptions!B32)</f>
        <v>44589560325.606186</v>
      </c>
    </row>
    <row r="20" spans="1:2" x14ac:dyDescent="0.25">
      <c r="A20" t="s">
        <v>62</v>
      </c>
      <c r="B20" s="18">
        <f>Forecast!B17+B19</f>
        <v>51726908177.719025</v>
      </c>
    </row>
    <row r="21" spans="1:2" x14ac:dyDescent="0.25">
      <c r="A21" t="s">
        <v>63</v>
      </c>
      <c r="B21" s="18">
        <f>-Assumptions!B30</f>
        <v>-3852400000</v>
      </c>
    </row>
    <row r="22" spans="1:2" x14ac:dyDescent="0.25">
      <c r="A22" t="s">
        <v>64</v>
      </c>
      <c r="B22" s="18">
        <f>B20+B21</f>
        <v>47874508177.719025</v>
      </c>
    </row>
    <row r="23" spans="1:2" x14ac:dyDescent="0.25">
      <c r="A23" s="19" t="s">
        <v>65</v>
      </c>
      <c r="B23" s="25">
        <f>B22/Assumptions!B31</f>
        <v>152.9048488588918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103.0307098288115</v>
      </c>
    </row>
    <row r="29" spans="1:2" x14ac:dyDescent="0.25">
      <c r="A29" s="19" t="s">
        <v>73</v>
      </c>
      <c r="B29" s="12">
        <f>B28/B26-1</f>
        <v>0.34557541894751864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0.054856</v>
      </c>
      <c r="B5" s="31">
        <v>144.51358227667092</v>
      </c>
      <c r="C5" s="31">
        <v>159.62655628180477</v>
      </c>
      <c r="D5" s="31">
        <v>179.7476494673932</v>
      </c>
      <c r="E5" s="31">
        <v>207.89914167358822</v>
      </c>
      <c r="F5" s="31">
        <v>250.14751080677067</v>
      </c>
    </row>
    <row r="6" spans="1:6" x14ac:dyDescent="0.25">
      <c r="A6" s="30">
        <v>0.064856</v>
      </c>
      <c r="B6" s="31">
        <v>112.87506973080947</v>
      </c>
      <c r="C6" s="31">
        <v>121.2822341224212</v>
      </c>
      <c r="D6" s="31">
        <v>131.76013133302862</v>
      </c>
      <c r="E6" s="31">
        <v>145.1998846207491</v>
      </c>
      <c r="F6" s="31">
        <v>163.08956476387482</v>
      </c>
    </row>
    <row r="7" spans="1:6" x14ac:dyDescent="0.25">
      <c r="A7" s="30">
        <v>0.074856</v>
      </c>
      <c r="B7" s="31">
        <v>91.82860984812035</v>
      </c>
      <c r="C7" s="31">
        <v>96.9330070981987</v>
      </c>
      <c r="D7" s="32">
        <v>103.03160583355495</v>
      </c>
      <c r="E7" s="31">
        <v>110.45687043530133</v>
      </c>
      <c r="F7" s="31">
        <v>119.70809807314507</v>
      </c>
    </row>
    <row r="8" spans="1:6" x14ac:dyDescent="0.25">
      <c r="A8" s="30">
        <v>0.084856</v>
      </c>
      <c r="B8" s="31">
        <v>76.82441218383309</v>
      </c>
      <c r="C8" s="31">
        <v>80.10455098437531</v>
      </c>
      <c r="D8" s="31">
        <v>83.90902506963047</v>
      </c>
      <c r="E8" s="31">
        <v>88.3812103560106</v>
      </c>
      <c r="F8" s="31">
        <v>93.72199877260888</v>
      </c>
    </row>
    <row r="9" spans="1:6" x14ac:dyDescent="0.25">
      <c r="A9" s="30">
        <v>0.094856</v>
      </c>
      <c r="B9" s="31">
        <v>65.59173805035287</v>
      </c>
      <c r="C9" s="31">
        <v>67.78219496466406</v>
      </c>
      <c r="D9" s="31">
        <v>70.26675834851723</v>
      </c>
      <c r="E9" s="31">
        <v>73.11344961925444</v>
      </c>
      <c r="F9" s="31">
        <v>76.41301854804742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17271900000</v>
      </c>
      <c r="C5" s="18">
        <v>15689100000</v>
      </c>
      <c r="D5" s="18">
        <v>14692200000</v>
      </c>
      <c r="E5" s="18">
        <v>14289100000</v>
      </c>
      <c r="F5" s="8" t="s">
        <v>84</v>
      </c>
    </row>
    <row r="6" spans="1:6" x14ac:dyDescent="0.25">
      <c r="A6" t="s">
        <v>44</v>
      </c>
      <c r="B6" s="18">
        <v>444700000</v>
      </c>
      <c r="C6" s="18">
        <v>2274600000</v>
      </c>
      <c r="D6" s="18">
        <v>2104700000</v>
      </c>
      <c r="E6" s="18">
        <v>2083300000</v>
      </c>
      <c r="F6" s="8" t="s">
        <v>85</v>
      </c>
    </row>
    <row r="7" spans="1:6" x14ac:dyDescent="0.25">
      <c r="A7" t="s">
        <v>86</v>
      </c>
      <c r="B7" s="18">
        <v>276700000</v>
      </c>
      <c r="C7" s="18">
        <v>241700000</v>
      </c>
      <c r="D7" s="18">
        <v>211100000</v>
      </c>
      <c r="E7" s="18">
        <v>219400000</v>
      </c>
      <c r="F7" s="8" t="s">
        <v>87</v>
      </c>
    </row>
    <row r="8" spans="1:6" x14ac:dyDescent="0.25">
      <c r="A8" t="s">
        <v>88</v>
      </c>
      <c r="B8" s="18">
        <v>149800000</v>
      </c>
      <c r="C8" s="18">
        <v>140600000</v>
      </c>
      <c r="D8" s="18">
        <v>78400000</v>
      </c>
      <c r="E8" s="18">
        <v>78200000</v>
      </c>
      <c r="F8" s="8" t="s">
        <v>89</v>
      </c>
    </row>
    <row r="9" spans="1:6" x14ac:dyDescent="0.25">
      <c r="A9" t="s">
        <v>90</v>
      </c>
      <c r="B9" s="18">
        <v>-712100000</v>
      </c>
      <c r="C9" s="18">
        <v>231200000</v>
      </c>
      <c r="D9" s="18">
        <v>462900000</v>
      </c>
      <c r="E9" s="18">
        <v>844000000</v>
      </c>
      <c r="F9" s="8" t="s">
        <v>91</v>
      </c>
    </row>
    <row r="10" spans="1:6" x14ac:dyDescent="0.25">
      <c r="A10" t="s">
        <v>92</v>
      </c>
      <c r="B10" s="18">
        <v>10733500000</v>
      </c>
      <c r="C10" s="18">
        <v>6870800000</v>
      </c>
      <c r="D10" s="18">
        <v>6503500000</v>
      </c>
      <c r="E10" s="18">
        <v>6494100000</v>
      </c>
      <c r="F10" s="8" t="s">
        <v>93</v>
      </c>
    </row>
    <row r="11" spans="1:6" x14ac:dyDescent="0.25">
      <c r="A11" t="s">
        <v>94</v>
      </c>
      <c r="B11" s="18">
        <v>6881100000</v>
      </c>
      <c r="C11" s="18">
        <v>4339400000</v>
      </c>
      <c r="D11" s="18">
        <v>4432000000</v>
      </c>
      <c r="E11" s="18">
        <v>4342500000</v>
      </c>
      <c r="F11" s="8" t="s">
        <v>95</v>
      </c>
    </row>
    <row r="12" spans="1:6" x14ac:dyDescent="0.25">
      <c r="A12" t="s">
        <v>32</v>
      </c>
      <c r="B12" s="34">
        <v>313100000</v>
      </c>
      <c r="C12" s="34">
        <v>198600000</v>
      </c>
      <c r="D12" s="34">
        <v>201400000</v>
      </c>
      <c r="E12" s="34">
        <v>207000000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