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<sst xmlns="http://schemas.openxmlformats.org/spreadsheetml/2006/main" count="112" uniqueCount="100">
  <si>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ON Semiconductor Corporation (ON)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</si>
  <si>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</si>
  <si>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</si>
  <si>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</si>
  <si>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</si>
  <si>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</si>
  <si>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</si>
  <si>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</si>
  <si>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</si>
  <si>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</si>
  <si>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</si>
  <si>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</si>
  <si>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</si>
  <si>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</si>
  <si>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</si>
  <si>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</si>
  <si>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</si>
  <si>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</si>
  <si>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</si>
  <si>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</si>
  <si>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</si>
  <si>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</si>
  <si>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</si>
  <si>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</si>
  <si>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</si>
  <si>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</si>
  <si>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</si>
  <si>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</si>
  <si>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</si>
  <si>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</si>
  <si>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</si>
  <si>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</si>
  <si>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</si>
  <si>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</si>
  <si>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</si>
  <si>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</si>
  <si>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</si>
  <si>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</si>
  <si>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</si>
  <si>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</si>
  <si>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</si>
  <si>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</si>
  <si>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</si>
  <si>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</si>
  <si>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</si>
  <si>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</si>
  <si>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</si>
  <si>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</si>
  <si>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</si>
  <si>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</si>
  <si>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</si>
  <si>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</si>
  <si>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</si>
  <si>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</si>
  <si>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</si>
  <si>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</si>
  <si>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</si>
  <si>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</si>
  <si>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</si>
  <si>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</si>
  <si>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</si>
  <si>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</si>
  <si>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</si>
  <si>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</si>
  <si>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</si>
  <si>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</si>
  <si>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</si>
  <si>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</si>
  <si>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</si>
  <si>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</si>
  <si>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</si>
  <si>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</si>
  <si>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</si>
  <si>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</si>
  <si>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</si>
  <si>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</si>
  <si>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</si>
  <si>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</si>
  <si>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</si>
  <si>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</si>
  <si>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</si>
  <si>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</si>
  <si>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</si>
  <si>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</si>
  <si>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</si>
  <si>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</si>
  <si>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</si>
  <si>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</si>
  <si>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</si>
  <si>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</si>
  <si>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</si>
  <si>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</si>
  <si>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</si>
  <si>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</si>
  <si>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</si>
  <si>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</si>
  <si>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</si>
  <si>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</si>
  <si>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11.6% of revenue against depreciation of 8.6%.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</si>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</sst>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-0.10369233936412636</v>
      </c>
    </row>
    <row r="7" spans="1:2" x14ac:dyDescent="0.25">
      <c r="A7" t="s">
        <v>5</v>
      </c>
      <c r="B7" s="6">
        <v>0.26062820048871316</v>
      </c>
    </row>
    <row r="8" spans="1:2" x14ac:dyDescent="0.25">
      <c r="A8" t="s">
        <v>6</v>
      </c>
      <c r="B8" s="6">
        <v>0.14056528300735427</v>
      </c>
    </row>
    <row r="9" spans="1:2" x14ac:dyDescent="0.25">
      <c r="A9" t="s">
        <v>7</v>
      </c>
      <c r="B9" s="6">
        <v>0.08633032843216343</v>
      </c>
    </row>
    <row r="10" spans="1:2" x14ac:dyDescent="0.25">
      <c r="A10" t="s">
        <v>8</v>
      </c>
      <c r="B10" s="6">
        <v>0.11645433349936521</v>
      </c>
    </row>
    <row r="11" spans="1:2" x14ac:dyDescent="0.25">
      <c r="A11" t="s">
        <v>9</v>
      </c>
      <c r="B11" s="6">
        <v>-0.32630050397198257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19.27612512977524</v>
      </c>
    </row>
    <row r="14" spans="1:3" x14ac:dyDescent="0.25">
      <c r="A14" t="s">
        <v>12</v>
      </c>
      <c r="B14" s="6">
        <v>0.16830414056941395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1.66799</v>
      </c>
      <c r="C19" s="8" t="s">
        <v>19</v>
      </c>
    </row>
    <row r="20" spans="1:2" x14ac:dyDescent="0.25">
      <c r="A20" t="s">
        <v>20</v>
      </c>
      <c r="B20" s="10">
        <f>B17+B19*B18</f>
        <v>0.14171945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27244519424</v>
      </c>
    </row>
    <row r="23" spans="1:2" x14ac:dyDescent="0.25">
      <c r="A23" t="s">
        <v>24</v>
      </c>
      <c r="B23" s="11">
        <v>3004800000</v>
      </c>
    </row>
    <row r="24" spans="1:2" x14ac:dyDescent="0.25">
      <c r="A24" t="s">
        <v>25</v>
      </c>
      <c r="B24" s="10">
        <f>B22/(B22+B23)</f>
        <v>0.9006655337304557</v>
      </c>
    </row>
    <row r="25" spans="1:2" x14ac:dyDescent="0.25">
      <c r="A25" t="s">
        <v>26</v>
      </c>
      <c r="B25" s="10">
        <f>1-B24</f>
        <v>0.09933446626954434</v>
      </c>
    </row>
    <row r="26" spans="1:2" x14ac:dyDescent="0.25">
      <c r="A26" t="s">
        <v>27</v>
      </c>
      <c r="B26" s="12">
        <f>B24*B20+B25*B21*(1-B8)</f>
        <v>0.13190869108975758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5995400000</v>
      </c>
      <c r="C29" s="8" t="s">
        <v>30</v>
      </c>
    </row>
    <row r="30" spans="1:2" x14ac:dyDescent="0.25">
      <c r="A30" t="s">
        <v>31</v>
      </c>
      <c r="B30" s="11">
        <v>457200000</v>
      </c>
    </row>
    <row r="31" spans="1:2" x14ac:dyDescent="0.25">
      <c r="A31" t="s">
        <v>32</v>
      </c>
      <c r="B31" s="13">
        <v>411800000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-0.10369233936412636</v>
      </c>
      <c r="C5" s="10">
        <f>Assumptions!B6</f>
        <v>-0.10369233936412636</v>
      </c>
      <c r="D5" s="10">
        <f>Assumptions!B6</f>
        <v>-0.10369233936412636</v>
      </c>
      <c r="E5" s="10">
        <f>Assumptions!B6</f>
        <v>-0.10369233936412636</v>
      </c>
      <c r="F5" s="10">
        <f>Assumptions!B6</f>
        <v>-0.10369233936412636</v>
      </c>
    </row>
    <row r="6" spans="1:6" x14ac:dyDescent="0.25">
      <c r="A6" t="s">
        <v>43</v>
      </c>
      <c r="B6" s="18">
        <f>Assumptions!B29*(1+B5)</f>
        <v>5373722948.576317</v>
      </c>
      <c r="C6" s="18">
        <f>B6*(1+C5)</f>
        <v>4816509044.9437475</v>
      </c>
      <c r="D6" s="18">
        <f>C6*(1+D5)</f>
        <v>4317073954.505056</v>
      </c>
      <c r="E6" s="18">
        <f>D6*(1+E5)</f>
        <v>3869426456.954487</v>
      </c>
      <c r="F6" s="18">
        <f>E6*(1+F5)</f>
        <v>3468196575.635433</v>
      </c>
    </row>
    <row r="7" spans="1:6" x14ac:dyDescent="0.25">
      <c r="A7" t="s">
        <v>5</v>
      </c>
      <c r="B7" s="10">
        <f>Assumptions!B7</f>
        <v>0.26062820048871316</v>
      </c>
      <c r="C7" s="10">
        <f>Assumptions!B7</f>
        <v>0.26062820048871316</v>
      </c>
      <c r="D7" s="10">
        <f>Assumptions!B7</f>
        <v>0.26062820048871316</v>
      </c>
      <c r="E7" s="10">
        <f>Assumptions!B7</f>
        <v>0.26062820048871316</v>
      </c>
      <c r="F7" s="10">
        <f>Assumptions!B7</f>
        <v>0.26062820048871316</v>
      </c>
    </row>
    <row r="8" spans="1:6" x14ac:dyDescent="0.25">
      <c r="A8" t="s">
        <v>44</v>
      </c>
      <c r="B8" s="18">
        <f>B6*B7</f>
        <v>1400543742.0123472</v>
      </c>
      <c r="C8" s="18">
        <f>C6*C7</f>
        <v>1255318085.0212994</v>
      </c>
      <c r="D8" s="18">
        <f>D6*D7</f>
        <v>1125151216.1393456</v>
      </c>
      <c r="E8" s="18">
        <f>E6*E7</f>
        <v>1008481654.399465</v>
      </c>
      <c r="F8" s="18">
        <f>F6*F7</f>
        <v>903909832.4489801</v>
      </c>
    </row>
    <row r="9" spans="1:6" x14ac:dyDescent="0.25">
      <c r="A9" t="s">
        <v>45</v>
      </c>
      <c r="B9" s="18">
        <f>B8*(1-Assumptions!B8)</f>
        <v>1203675914.5522027</v>
      </c>
      <c r="C9" s="18">
        <f>C8*(1-Assumptions!B8)</f>
        <v>1078863943.1360304</v>
      </c>
      <c r="D9" s="18">
        <f>D8*(1-Assumptions!B8)</f>
        <v>966994017.0166497</v>
      </c>
      <c r="E9" s="18">
        <f>E8*(1-Assumptions!B8)</f>
        <v>866724145.2410793</v>
      </c>
      <c r="F9" s="18">
        <f>F8*(1-Assumptions!B8)</f>
        <v>776851491.037659</v>
      </c>
    </row>
    <row r="10" spans="1:6" x14ac:dyDescent="0.25">
      <c r="A10" t="s">
        <v>46</v>
      </c>
      <c r="B10" s="18">
        <f>B6*Assumptions!B9</f>
        <v>463915267.0540471</v>
      </c>
      <c r="C10" s="18">
        <f>C6*Assumptions!B9</f>
        <v>415810807.7464795</v>
      </c>
      <c r="D10" s="18">
        <f>D6*Assumptions!B9</f>
        <v>372694412.35836005</v>
      </c>
      <c r="E10" s="18">
        <f>E6*Assumptions!B9</f>
        <v>334048856.87298334</v>
      </c>
      <c r="F10" s="18">
        <f>F6*Assumptions!B9</f>
        <v>299410549.44191146</v>
      </c>
    </row>
    <row r="11" spans="1:6" x14ac:dyDescent="0.25">
      <c r="A11" t="s">
        <v>47</v>
      </c>
      <c r="B11" s="18">
        <f>-B6*Assumptions!B10</f>
        <v>-625793324.3866986</v>
      </c>
      <c r="C11" s="18">
        <f>-C6*Assumptions!B10</f>
        <v>-560903350.6225882</v>
      </c>
      <c r="D11" s="18">
        <f>-D6*Assumptions!B10</f>
        <v>-502741970.0393552</v>
      </c>
      <c r="E11" s="18">
        <f>-E6*Assumptions!B10</f>
        <v>-450611479.06944495</v>
      </c>
      <c r="F11" s="18">
        <f>-F6*Assumptions!B10</f>
        <v>-403886520.66040516</v>
      </c>
    </row>
    <row r="12" spans="1:6" x14ac:dyDescent="0.25">
      <c r="A12" t="s">
        <v>48</v>
      </c>
      <c r="B12" s="18">
        <f>-(B6-Assumptions!B29)*Assumptions!B11</f>
        <v>-202853535.18736395</v>
      </c>
      <c r="C12" s="18">
        <f>-(C6-B6)*Assumptions!B11</f>
        <v>-181819177.57550308</v>
      </c>
      <c r="D12" s="18">
        <f>-(D6-C6)*Assumptions!B11</f>
        <v>-162965921.7114376</v>
      </c>
      <c r="E12" s="18">
        <f>-(E6-D6)*Assumptions!B11</f>
        <v>-146067604.05254766</v>
      </c>
      <c r="F12" s="18">
        <f>-(F6-E6)*Assumptions!B11</f>
        <v>-130921512.48302595</v>
      </c>
    </row>
    <row r="13" spans="1:6" x14ac:dyDescent="0.25">
      <c r="A13" s="19" t="s">
        <v>49</v>
      </c>
      <c r="B13" s="20">
        <f>B9+B10+B11+B12</f>
        <v>838944322.0321872</v>
      </c>
      <c r="C13" s="20">
        <f>C9+C10+C11+C12</f>
        <v>751952222.6844187</v>
      </c>
      <c r="D13" s="20">
        <f>D9+D10+D11+D12</f>
        <v>673980537.6242169</v>
      </c>
      <c r="E13" s="20">
        <f>E9+E10+E11+E12</f>
        <v>604093918.9920702</v>
      </c>
      <c r="F13" s="20">
        <f>F9+F10+F11+F12</f>
        <v>541454007.3361393</v>
      </c>
    </row>
    <row r="14" spans="1:6" x14ac:dyDescent="0.25">
      <c r="A14" t="s">
        <v>50</v>
      </c>
      <c r="B14" s="21">
        <f>1/(1+Assumptions!$B$26)^(1-0.5*Assumptions!$B$32)</f>
        <v>0.9399273842752502</v>
      </c>
      <c r="C14" s="21">
        <f>1/(1+Assumptions!$B$26)^(2-0.5*Assumptions!$B$32)</f>
        <v>0.8303915251064332</v>
      </c>
      <c r="D14" s="21">
        <f>1/(1+Assumptions!$B$26)^(3-0.5*Assumptions!$B$32)</f>
        <v>0.7336205929357822</v>
      </c>
      <c r="E14" s="21">
        <f>1/(1+Assumptions!$B$26)^(4-0.5*Assumptions!$B$32)</f>
        <v>0.6481270076913015</v>
      </c>
      <c r="F14" s="21">
        <f>1/(1+Assumptions!$B$26)^(5-0.5*Assumptions!$B$32)</f>
        <v>0.5725965466943364</v>
      </c>
    </row>
    <row r="15" spans="1:6" x14ac:dyDescent="0.25">
      <c r="A15" s="19" t="s">
        <v>51</v>
      </c>
      <c r="B15" s="20">
        <f>B13*B14</f>
        <v>788546742.1602869</v>
      </c>
      <c r="C15" s="20">
        <f>C13*C14</f>
        <v>624414753.0020868</v>
      </c>
      <c r="D15" s="20">
        <f>D13*D14</f>
        <v>494446001.63905525</v>
      </c>
      <c r="E15" s="20">
        <f>E13*E14</f>
        <v>391529584.08084196</v>
      </c>
      <c r="F15" s="20">
        <f>F13*F14</f>
        <v>310034694.79448324</v>
      </c>
    </row>
    <row r="17" spans="1:2" x14ac:dyDescent="0.25">
      <c r="A17" s="22" t="s">
        <v>52</v>
      </c>
      <c r="B17" s="23">
        <f>SUM(B15:F15)</f>
        <v>2608971775.676754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541454007.3361393</v>
      </c>
    </row>
    <row r="5" spans="1:2" x14ac:dyDescent="0.25">
      <c r="A5" t="s">
        <v>56</v>
      </c>
      <c r="B5" s="18">
        <f>IF(Assumptions!$B$33=0,B4,B4-Forecast!F11-Forecast!F10-Forecast!F12)</f>
        <v>776851491.037659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0.1485406117485815</v>
      </c>
    </row>
    <row r="7" spans="1:2" x14ac:dyDescent="0.25">
      <c r="A7" t="s">
        <v>58</v>
      </c>
      <c r="B7" s="18">
        <f>-MAX(Forecast!F9,0)*B6</f>
        <v>-115393995.71653154</v>
      </c>
    </row>
    <row r="8" spans="1:2" x14ac:dyDescent="0.25">
      <c r="A8" t="s">
        <v>59</v>
      </c>
      <c r="B8" s="18">
        <f>IF(OR(Assumptions!$B$33=0,Assumptions!B12&lt;=0),B5,MAX(B5+B7,0))</f>
        <v>661457495.3211275</v>
      </c>
    </row>
    <row r="9" spans="1:2" x14ac:dyDescent="0.25">
      <c r="A9" t="s">
        <v>60</v>
      </c>
      <c r="B9" s="18">
        <f>B8*(1+Assumptions!B12)/(Assumptions!B26-Assumptions!B12)</f>
        <v>6341803699.896865</v>
      </c>
    </row>
    <row r="10" spans="1:2" x14ac:dyDescent="0.25">
      <c r="A10" t="s">
        <v>61</v>
      </c>
      <c r="B10" s="18">
        <f>B9/(1+Assumptions!B26)^(5-0.5*Assumptions!B32)</f>
        <v>3631294898.37431</v>
      </c>
    </row>
    <row r="11" spans="1:2" x14ac:dyDescent="0.25">
      <c r="A11" t="s">
        <v>62</v>
      </c>
      <c r="B11" s="18">
        <f>Forecast!B17+B10</f>
        <v>6240266674.051064</v>
      </c>
    </row>
    <row r="12" spans="1:2" x14ac:dyDescent="0.25">
      <c r="A12" t="s">
        <v>63</v>
      </c>
      <c r="B12" s="18">
        <f>-Assumptions!B30</f>
        <v>-457200000</v>
      </c>
    </row>
    <row r="13" spans="1:2" x14ac:dyDescent="0.25">
      <c r="A13" t="s">
        <v>64</v>
      </c>
      <c r="B13" s="18">
        <f>B11+B12</f>
        <v>5783066674.051064</v>
      </c>
    </row>
    <row r="14" spans="1:2" x14ac:dyDescent="0.25">
      <c r="A14" s="19" t="s">
        <v>65</v>
      </c>
      <c r="B14" s="24">
        <f>B13/Assumptions!B31</f>
        <v>14.043386775257561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1203320381.8908916</v>
      </c>
    </row>
    <row r="18" spans="1:2" x14ac:dyDescent="0.25">
      <c r="A18" t="s">
        <v>60</v>
      </c>
      <c r="B18" s="18">
        <f>B17*Assumptions!B13</f>
        <v>23195354252.537754</v>
      </c>
    </row>
    <row r="19" spans="1:2" x14ac:dyDescent="0.25">
      <c r="A19" t="s">
        <v>61</v>
      </c>
      <c r="B19" s="18">
        <f>B18/(1+Assumptions!B26)^(5-0.5*Assumptions!B32)</f>
        <v>13281579744.354908</v>
      </c>
    </row>
    <row r="20" spans="1:2" x14ac:dyDescent="0.25">
      <c r="A20" t="s">
        <v>62</v>
      </c>
      <c r="B20" s="18">
        <f>Forecast!B17+B19</f>
        <v>15890551520.031662</v>
      </c>
    </row>
    <row r="21" spans="1:2" x14ac:dyDescent="0.25">
      <c r="A21" t="s">
        <v>63</v>
      </c>
      <c r="B21" s="18">
        <f>-Assumptions!B30</f>
        <v>-457200000</v>
      </c>
    </row>
    <row r="22" spans="1:2" x14ac:dyDescent="0.25">
      <c r="A22" t="s">
        <v>64</v>
      </c>
      <c r="B22" s="18">
        <f>B20+B21</f>
        <v>15433351520.031662</v>
      </c>
    </row>
    <row r="23" spans="1:2" x14ac:dyDescent="0.25">
      <c r="A23" s="19" t="s">
        <v>65</v>
      </c>
      <c r="B23" s="25">
        <f>B22/Assumptions!B31</f>
        <v>37.47778416714828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14.043386775257561</v>
      </c>
    </row>
    <row r="29" spans="1:2" x14ac:dyDescent="0.25">
      <c r="A29" s="19" t="s">
        <v>73</v>
      </c>
      <c r="B29" s="12">
        <f>B28/B26-1</f>
        <v>-0.7993228525970626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0.111909</v>
      </c>
      <c r="B5" s="31">
        <v>16.6284308560099</v>
      </c>
      <c r="C5" s="31">
        <v>16.907997544043404</v>
      </c>
      <c r="D5" s="31">
        <v>17.215731147103106</v>
      </c>
      <c r="E5" s="31">
        <v>17.556789873998692</v>
      </c>
      <c r="F5" s="31">
        <v>17.937673313302877</v>
      </c>
    </row>
    <row r="6" spans="1:6" x14ac:dyDescent="0.25">
      <c r="A6" s="30">
        <v>0.121909</v>
      </c>
      <c r="B6" s="31">
        <v>15.06365911634748</v>
      </c>
      <c r="C6" s="31">
        <v>15.256615719532302</v>
      </c>
      <c r="D6" s="31">
        <v>15.46603713292051</v>
      </c>
      <c r="E6" s="31">
        <v>15.694610494366405</v>
      </c>
      <c r="F6" s="31">
        <v>15.945641321375257</v>
      </c>
    </row>
    <row r="7" spans="1:6" x14ac:dyDescent="0.25">
      <c r="A7" s="30">
        <v>0.131909</v>
      </c>
      <c r="B7" s="31">
        <v>13.76762358435655</v>
      </c>
      <c r="C7" s="31">
        <v>13.900759486450271</v>
      </c>
      <c r="D7" s="32">
        <v>14.043346932153648</v>
      </c>
      <c r="E7" s="31">
        <v>14.196777095495916</v>
      </c>
      <c r="F7" s="31">
        <v>14.362728259862351</v>
      </c>
    </row>
    <row r="8" spans="1:6" x14ac:dyDescent="0.25">
      <c r="A8" s="30">
        <v>0.141909</v>
      </c>
      <c r="B8" s="31">
        <v>12.676691567786563</v>
      </c>
      <c r="C8" s="31">
        <v>12.767628006538533</v>
      </c>
      <c r="D8" s="31">
        <v>12.863704461306655</v>
      </c>
      <c r="E8" s="31">
        <v>12.965609886868844</v>
      </c>
      <c r="F8" s="31">
        <v>13.074162124210527</v>
      </c>
    </row>
    <row r="9" spans="1:6" x14ac:dyDescent="0.25">
      <c r="A9" s="30">
        <v>0.151909</v>
      </c>
      <c r="B9" s="31">
        <v>11.74582938101692</v>
      </c>
      <c r="C9" s="31">
        <v>11.806502615901943</v>
      </c>
      <c r="D9" s="31">
        <v>11.86961972900877</v>
      </c>
      <c r="E9" s="31">
        <v>11.935481421461404</v>
      </c>
      <c r="F9" s="31">
        <v>12.004439836295777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5995400000</v>
      </c>
      <c r="C5" s="18">
        <v>7082300000</v>
      </c>
      <c r="D5" s="18">
        <v>8253000000</v>
      </c>
      <c r="E5" s="18">
        <v>8326200000</v>
      </c>
      <c r="F5" s="8" t="s">
        <v>84</v>
      </c>
    </row>
    <row r="6" spans="1:6" x14ac:dyDescent="0.25">
      <c r="A6" t="s">
        <v>44</v>
      </c>
      <c r="B6" s="18">
        <v>751100000</v>
      </c>
      <c r="C6" s="18">
        <v>1901600000</v>
      </c>
      <c r="D6" s="18">
        <v>2613600000</v>
      </c>
      <c r="E6" s="18">
        <v>2764700000</v>
      </c>
      <c r="F6" s="8" t="s">
        <v>85</v>
      </c>
    </row>
    <row r="7" spans="1:6" x14ac:dyDescent="0.25">
      <c r="A7" t="s">
        <v>86</v>
      </c>
      <c r="B7" s="18">
        <v>686000000</v>
      </c>
      <c r="C7" s="18">
        <v>642900000</v>
      </c>
      <c r="D7" s="18">
        <v>609500000</v>
      </c>
      <c r="E7" s="18">
        <v>551800000</v>
      </c>
      <c r="F7" s="8" t="s">
        <v>87</v>
      </c>
    </row>
    <row r="8" spans="1:6" x14ac:dyDescent="0.25">
      <c r="A8" t="s">
        <v>88</v>
      </c>
      <c r="B8" s="18">
        <v>341200000</v>
      </c>
      <c r="C8" s="18">
        <v>694000000</v>
      </c>
      <c r="D8" s="18">
        <v>1539100000</v>
      </c>
      <c r="E8" s="18">
        <v>1036000000</v>
      </c>
      <c r="F8" s="8" t="s">
        <v>89</v>
      </c>
    </row>
    <row r="9" spans="1:6" x14ac:dyDescent="0.25">
      <c r="A9" t="s">
        <v>90</v>
      </c>
      <c r="B9" s="18">
        <v>-493000000</v>
      </c>
      <c r="C9" s="18">
        <v>382000000</v>
      </c>
      <c r="D9" s="18">
        <v>862700000</v>
      </c>
      <c r="E9" s="18">
        <v>250400000</v>
      </c>
      <c r="F9" s="8" t="s">
        <v>91</v>
      </c>
    </row>
    <row r="10" spans="1:6" x14ac:dyDescent="0.25">
      <c r="A10" t="s">
        <v>92</v>
      </c>
      <c r="B10" s="18">
        <v>3004800000</v>
      </c>
      <c r="C10" s="18">
        <v>3366900000</v>
      </c>
      <c r="D10" s="18">
        <v>3359800000</v>
      </c>
      <c r="E10" s="18">
        <v>3230700000</v>
      </c>
      <c r="F10" s="8" t="s">
        <v>93</v>
      </c>
    </row>
    <row r="11" spans="1:6" x14ac:dyDescent="0.25">
      <c r="A11" t="s">
        <v>94</v>
      </c>
      <c r="B11" s="18">
        <v>2547600000</v>
      </c>
      <c r="C11" s="18">
        <v>2991300000</v>
      </c>
      <c r="D11" s="18">
        <v>2483000000</v>
      </c>
      <c r="E11" s="18">
        <v>2919000000</v>
      </c>
      <c r="F11" s="8" t="s">
        <v>95</v>
      </c>
    </row>
    <row r="12" spans="1:6" x14ac:dyDescent="0.25">
      <c r="A12" t="s">
        <v>32</v>
      </c>
      <c r="B12" s="34">
        <v>411800000</v>
      </c>
      <c r="C12" s="34">
        <v>432700000</v>
      </c>
      <c r="D12" s="34">
        <v>446800000</v>
      </c>
      <c r="E12" s="34">
        <v>448200000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