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<sst xmlns="http://schemas.openxmlformats.org/spreadsheetml/2006/main" count="120" uniqueCount="107">
  <si>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ON Semiconductor Corporation (ON)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</si>
  <si>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</si>
  <si>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</si>
  <si>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</si>
  <si>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</si>
  <si>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</si>
  <si>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</si>
  <si>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</si>
  <si>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</si>
  <si>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</si>
  <si>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</si>
  <si>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</si>
  <si>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</si>
  <si>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</si>
  <si>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</si>
  <si>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</si>
  <si>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</si>
  <si>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</si>
  <si>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</si>
  <si>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</si>
  <si>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</si>
  <si>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</si>
  <si>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</si>
  <si>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</si>
  <si>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10.6x interest cover. Book interest / average debt was lower, at 2.2%.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</si>
  <si>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</si>
  <si>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</si>
  <si>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</si>
  <si>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</si>
  <si>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</si>
  <si>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</si>
  <si>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</si>
  <si>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</si>
  <si>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</si>
  <si>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</si>
  <si>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</si>
  <si>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</si>
  <si>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</si>
  <si>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</si>
  <si>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</si>
  <si>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</si>
  <si>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</si>
  <si>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</si>
  <si>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</si>
  <si>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</si>
  <si>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</si>
  <si>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</si>
  <si>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</si>
  <si>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</si>
  <si>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</si>
  <si>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</si>
  <si>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</si>
  <si>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</si>
  <si>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</si>
  <si>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</si>
  <si>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</si>
  <si>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</si>
  <si>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</si>
  <si>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</si>
  <si>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</si>
  <si>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</si>
  <si>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</si>
  <si>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</si>
  <si>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</si>
  <si>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</si>
  <si>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</si>
  <si>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</si>
  <si>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</si>
  <si>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</si>
  <si>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</si>
  <si>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</si>
  <si>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</si>
  <si>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</si>
  <si>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</si>
  <si>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</si>
  <si>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</si>
  <si>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</si>
  <si>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</si>
  <si>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</si>
  <si>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</si>
  <si>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</si>
  <si>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</si>
  <si>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</si>
  <si>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</si>
  <si>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</si>
  <si>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</si>
  <si>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</si>
  <si>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</si>
  <si>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</si>
  <si>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</si>
  <si>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</si>
  <si>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</si>
  <si>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</si>
  <si>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</si>
  <si>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</si>
  <si>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</si>
  <si>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</si>
  <si>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</si>
  <si>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</si>
  <si>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</si>
  <si>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</si>
  <si>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</si>
  <si>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</si>
  <si>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</si>
  <si>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</si>
  <si>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11.6% of revenue against depreciation of 8.6%.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</si>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</sst>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0.09462573472995972</v>
      </c>
    </row>
    <row r="7" spans="1:2" x14ac:dyDescent="0.25">
      <c r="A7" t="s">
        <v>4</v>
      </c>
      <c r="B7" s="5">
        <v>0.26062820048871316</v>
      </c>
    </row>
    <row r="8" spans="1:2" x14ac:dyDescent="0.25">
      <c r="A8" t="s">
        <v>5</v>
      </c>
      <c r="B8" s="5">
        <v>0.14056528300735427</v>
      </c>
    </row>
    <row r="9" spans="1:2" x14ac:dyDescent="0.25">
      <c r="A9" t="s">
        <v>6</v>
      </c>
      <c r="B9" s="5">
        <v>0.08633032843216343</v>
      </c>
    </row>
    <row r="10" spans="1:3" x14ac:dyDescent="0.25">
      <c r="A10" t="s">
        <v>7</v>
      </c>
      <c r="B10" s="5">
        <v>0.11645433349936521</v>
      </c>
      <c r="C10" s="6" t="s">
        <v>8</v>
      </c>
    </row>
    <row r="11" spans="1:2" x14ac:dyDescent="0.25">
      <c r="A11" t="s">
        <v>9</v>
      </c>
      <c r="B11" s="5">
        <v>0.3345755589806945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19.73395452508524</v>
      </c>
    </row>
    <row r="14" spans="1:3" x14ac:dyDescent="0.25">
      <c r="A14" t="s">
        <v>12</v>
      </c>
      <c r="B14" s="5">
        <v>0.16830414056941395</v>
      </c>
      <c r="C14" s="6" t="s">
        <v>13</v>
      </c>
    </row>
    <row r="15" spans="1:3" x14ac:dyDescent="0.25">
      <c r="A15" t="s">
        <v>14</v>
      </c>
      <c r="B15" s="5">
        <v>0.08633032843216343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1.70484</v>
      </c>
      <c r="C19" s="6" t="s">
        <v>21</v>
      </c>
    </row>
    <row r="20" spans="1:2" x14ac:dyDescent="0.25">
      <c r="A20" t="s">
        <v>22</v>
      </c>
      <c r="B20" s="9">
        <f>B17+B19*B18</f>
        <v>0.121054732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27902466048</v>
      </c>
    </row>
    <row r="23" spans="1:2" x14ac:dyDescent="0.25">
      <c r="A23" t="s">
        <v>26</v>
      </c>
      <c r="B23" s="10">
        <v>3004800000</v>
      </c>
    </row>
    <row r="24" spans="1:2" x14ac:dyDescent="0.25">
      <c r="A24" t="s">
        <v>27</v>
      </c>
      <c r="B24" s="9">
        <f>B22/(B22+B23)</f>
        <v>0.9027801425291565</v>
      </c>
    </row>
    <row r="25" spans="1:2" x14ac:dyDescent="0.25">
      <c r="A25" t="s">
        <v>28</v>
      </c>
      <c r="B25" s="9">
        <f>1-B24</f>
        <v>0.0972198574708435</v>
      </c>
    </row>
    <row r="26" spans="1:2" x14ac:dyDescent="0.25">
      <c r="A26" t="s">
        <v>29</v>
      </c>
      <c r="B26" s="11">
        <f>B24*B20+B25*B21*(1-B8)</f>
        <v>0.1137091633581979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5995400000</v>
      </c>
      <c r="C29" s="6" t="s">
        <v>32</v>
      </c>
    </row>
    <row r="30" spans="1:2" x14ac:dyDescent="0.25">
      <c r="A30" t="s">
        <v>33</v>
      </c>
      <c r="B30" s="10">
        <v>457200000</v>
      </c>
    </row>
    <row r="31" spans="1:2" x14ac:dyDescent="0.25">
      <c r="A31" t="s">
        <v>34</v>
      </c>
      <c r="B31" s="12">
        <v>411800000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0.09462573472995972</v>
      </c>
      <c r="C5" s="5">
        <v>0.13000307084603202</v>
      </c>
      <c r="D5" s="5">
        <v>0.11687768699027802</v>
      </c>
      <c r="E5" s="5">
        <v>0.10375230313452402</v>
      </c>
      <c r="F5" s="5">
        <v>0.09062691927877001</v>
      </c>
      <c r="G5" s="5">
        <v>0.07750153542301601</v>
      </c>
      <c r="H5" s="5">
        <v>0.06437615156726201</v>
      </c>
      <c r="I5" s="5">
        <v>0.051250767711507994</v>
      </c>
      <c r="J5" s="5">
        <v>0.038125383855753994</v>
      </c>
      <c r="K5" s="5">
        <v>0.024999999999999994</v>
      </c>
    </row>
    <row r="6" spans="1:11" x14ac:dyDescent="0.25">
      <c r="A6" t="s">
        <v>50</v>
      </c>
      <c r="B6" s="18">
        <f>Assumptions!B29*(1+B5)</f>
        <v>6562719130.000001</v>
      </c>
      <c r="C6" s="18">
        <f>B6*(1+C5)</f>
        <v>7415892770.000001</v>
      </c>
      <c r="D6" s="18">
        <f>C6*(1+D5)</f>
        <v>8282645163.925528</v>
      </c>
      <c r="E6" s="18">
        <f>D6*(1+E5)</f>
        <v>9141988675.728828</v>
      </c>
      <c r="F6" s="18">
        <f>E6*(1+F5)</f>
        <v>9970498945.491535</v>
      </c>
      <c r="G6" s="18">
        <f>F6*(1+G5)</f>
        <v>10743227922.700691</v>
      </c>
      <c r="H6" s="18">
        <f>G6*(1+H5)</f>
        <v>11434835591.774113</v>
      </c>
      <c r="I6" s="18">
        <f>H6*(1+I5)</f>
        <v>12020879694.507412</v>
      </c>
      <c r="J6" s="18">
        <f>I6*(1+J5)</f>
        <v>12479180347.144346</v>
      </c>
      <c r="K6" s="18">
        <f>J6*(1+K5)</f>
        <v>12791159855.822954</v>
      </c>
    </row>
    <row r="7" spans="1:11" x14ac:dyDescent="0.25">
      <c r="A7" t="s">
        <v>4</v>
      </c>
      <c r="B7" s="9">
        <f>Assumptions!B7</f>
        <v>0.26062820048871316</v>
      </c>
      <c r="C7" s="9">
        <f>Assumptions!B7</f>
        <v>0.26062820048871316</v>
      </c>
      <c r="D7" s="9">
        <f>Assumptions!B7</f>
        <v>0.26062820048871316</v>
      </c>
      <c r="E7" s="9">
        <f>Assumptions!B7</f>
        <v>0.26062820048871316</v>
      </c>
      <c r="F7" s="9">
        <f>Assumptions!B7</f>
        <v>0.26062820048871316</v>
      </c>
      <c r="G7" s="9">
        <f>Assumptions!B7</f>
        <v>0.26062820048871316</v>
      </c>
      <c r="H7" s="9">
        <f>Assumptions!B7</f>
        <v>0.26062820048871316</v>
      </c>
      <c r="I7" s="9">
        <f>Assumptions!B7</f>
        <v>0.26062820048871316</v>
      </c>
      <c r="J7" s="9">
        <f>Assumptions!B7</f>
        <v>0.26062820048871316</v>
      </c>
      <c r="K7" s="9">
        <f>Assumptions!B7</f>
        <v>0.26062820048871316</v>
      </c>
    </row>
    <row r="8" spans="1:11" x14ac:dyDescent="0.25">
      <c r="A8" t="s">
        <v>51</v>
      </c>
      <c r="B8" s="18">
        <f>B6*B7</f>
        <v>1710429677.1647534</v>
      </c>
      <c r="C8" s="18">
        <f>C6*C7</f>
        <v>1932790787.6623585</v>
      </c>
      <c r="D8" s="18">
        <f>D6*D7</f>
        <v>2158690904.3604527</v>
      </c>
      <c r="E8" s="18">
        <f>E6*E7</f>
        <v>2382660057.4433985</v>
      </c>
      <c r="F8" s="18">
        <f>F6*F7</f>
        <v>2598593198.138071</v>
      </c>
      <c r="G8" s="18">
        <f>G6*G7</f>
        <v>2799988160.933577</v>
      </c>
      <c r="H8" s="18">
        <f>H6*H7</f>
        <v>2980240623.1683764</v>
      </c>
      <c r="I8" s="18">
        <f>I6*I7</f>
        <v>3132980243.070779</v>
      </c>
      <c r="J8" s="18">
        <f>J6*J7</f>
        <v>3252426317.4503455</v>
      </c>
      <c r="K8" s="18">
        <f>K6*K7</f>
        <v>3333736975.3866043</v>
      </c>
    </row>
    <row r="9" spans="1:11" x14ac:dyDescent="0.25">
      <c r="A9" t="s">
        <v>52</v>
      </c>
      <c r="B9" s="18">
        <f>B8*(1-Assumptions!B8)</f>
        <v>1470002645.5299122</v>
      </c>
      <c r="C9" s="18">
        <f>C8*(1-Assumptions!B8)</f>
        <v>1661107503.600592</v>
      </c>
      <c r="D9" s="18">
        <f>D8*(1-Assumptions!B8)</f>
        <v>1855253906.463624</v>
      </c>
      <c r="E9" s="18">
        <f>E8*(1-Assumptions!B8)</f>
        <v>2047740772.158548</v>
      </c>
      <c r="F9" s="18">
        <f>F8*(1-Assumptions!B8)</f>
        <v>2233321209.8208075</v>
      </c>
      <c r="G9" s="18">
        <f>G8*(1-Assumptions!B8)</f>
        <v>2406407032.6747074</v>
      </c>
      <c r="H9" s="18">
        <f>H8*(1-Assumptions!B8)</f>
        <v>2561322256.5427</v>
      </c>
      <c r="I9" s="18">
        <f>I8*(1-Assumptions!B8)</f>
        <v>2692591988.5470853</v>
      </c>
      <c r="J9" s="18">
        <f>J8*(1-Assumptions!B8)</f>
        <v>2795248091.6773705</v>
      </c>
      <c r="K9" s="18">
        <f>K8*(1-Assumptions!B8)</f>
        <v>2865129293.969305</v>
      </c>
    </row>
    <row r="10" spans="1:11" x14ac:dyDescent="0.25">
      <c r="A10" t="s">
        <v>53</v>
      </c>
      <c r="B10" s="18">
        <f>B6*Assumptions!B9</f>
        <v>566561697.900942</v>
      </c>
      <c r="C10" s="18">
        <f>C6*Assumptions!B9</f>
        <v>640216458.4518063</v>
      </c>
      <c r="D10" s="18">
        <f>D6*Assumptions!B9</f>
        <v>715043477.2887609</v>
      </c>
      <c r="E10" s="18">
        <f>E6*Assumptions!B9</f>
        <v>789230884.8987886</v>
      </c>
      <c r="F10" s="18">
        <f>F6*Assumptions!B9</f>
        <v>860756448.5968233</v>
      </c>
      <c r="G10" s="18">
        <f>G6*Assumptions!B9</f>
        <v>927466394.9883395</v>
      </c>
      <c r="H10" s="18">
        <f>H6*Assumptions!B9</f>
        <v>987173112.205651</v>
      </c>
      <c r="I10" s="18">
        <f>I6*Assumptions!B9</f>
        <v>1037766492.0703492</v>
      </c>
      <c r="J10" s="18">
        <f>J6*Assumptions!B9</f>
        <v>1077331737.9331706</v>
      </c>
      <c r="K10" s="18">
        <f>K6*Assumptions!B9</f>
        <v>1104265031.3814998</v>
      </c>
    </row>
    <row r="11" spans="1:11" x14ac:dyDescent="0.25">
      <c r="A11" t="s">
        <v>54</v>
      </c>
      <c r="B11" s="18">
        <f>-B6*B19</f>
        <v>-764257082.227684</v>
      </c>
      <c r="C11" s="18">
        <f>-C6*C19</f>
        <v>-866206797.9868543</v>
      </c>
      <c r="D11" s="18">
        <f>-D6*D19</f>
        <v>-970344167.8049378</v>
      </c>
      <c r="E11" s="18">
        <f>-E6*E19</f>
        <v>-1074217316.0264075</v>
      </c>
      <c r="F11" s="18">
        <f>-F6*F19</f>
        <v>-1175057826.2339394</v>
      </c>
      <c r="G11" s="18">
        <f>-G6*G19</f>
        <v>-1269884403.129907</v>
      </c>
      <c r="H11" s="18">
        <f>-H6*H19</f>
        <v>-1355634377.223465</v>
      </c>
      <c r="I11" s="18">
        <f>-I6*I19</f>
        <v>-1429316370.9410074</v>
      </c>
      <c r="J11" s="18">
        <f>-J6*J19</f>
        <v>-1488174602.8472145</v>
      </c>
      <c r="K11" s="18">
        <f>-K6*K19</f>
        <v>-1529853089.4464817</v>
      </c>
    </row>
    <row r="12" spans="1:11" x14ac:dyDescent="0.25">
      <c r="A12" t="s">
        <v>55</v>
      </c>
      <c r="B12" s="18">
        <f>-(B6-Assumptions!B29)*Assumptions!B11</f>
        <v>-189811115.04019162</v>
      </c>
      <c r="C12" s="18">
        <f>-(C6-B6)*Assumptions!B11</f>
        <v>-285451047.51059383</v>
      </c>
      <c r="D12" s="18">
        <f>-(D6-C6)*Assumptions!B11</f>
        <v>-289994166.6954882</v>
      </c>
      <c r="E12" s="18">
        <f>-(E6-D6)*Assumptions!B11</f>
        <v>-287515335.81802243</v>
      </c>
      <c r="F12" s="18">
        <f>-(F6-E6)*Assumptions!B11</f>
        <v>-277199286.6271036</v>
      </c>
      <c r="G12" s="18">
        <f>-(G6-F6)*Assumptions!B11</f>
        <v>-258536229.49033374</v>
      </c>
      <c r="H12" s="18">
        <f>-(H6-G6)*Assumptions!B11</f>
        <v>-231395022.47557518</v>
      </c>
      <c r="I12" s="18">
        <f>-(I6-H6)*Assumptions!B11</f>
        <v>-196076033.25933316</v>
      </c>
      <c r="J12" s="18">
        <f>-(J6-I6)*Assumptions!B11</f>
        <v>-153336197.0372194</v>
      </c>
      <c r="K12" s="18">
        <f>-(K6-J6)*Assumptions!B11</f>
        <v>-104380718.50666769</v>
      </c>
    </row>
    <row r="13" spans="1:11" x14ac:dyDescent="0.25">
      <c r="A13" s="19" t="s">
        <v>56</v>
      </c>
      <c r="B13" s="20">
        <f>B9+B10+B11+B12</f>
        <v>1082496146.1629786</v>
      </c>
      <c r="C13" s="20">
        <f>C9+C10+C11+C12</f>
        <v>1149666116.55495</v>
      </c>
      <c r="D13" s="20">
        <f>D9+D10+D11+D12</f>
        <v>1309959049.251959</v>
      </c>
      <c r="E13" s="20">
        <f>E9+E10+E11+E12</f>
        <v>1475239005.2129068</v>
      </c>
      <c r="F13" s="20">
        <f>F9+F10+F11+F12</f>
        <v>1641820545.5565877</v>
      </c>
      <c r="G13" s="20">
        <f>G9+G10+G11+G12</f>
        <v>1805452795.0428061</v>
      </c>
      <c r="H13" s="20">
        <f>H9+H10+H11+H12</f>
        <v>1961465969.049311</v>
      </c>
      <c r="I13" s="20">
        <f>I9+I10+I11+I12</f>
        <v>2104966076.4170938</v>
      </c>
      <c r="J13" s="20">
        <f>J9+J10+J11+J12</f>
        <v>2231069029.726107</v>
      </c>
      <c r="K13" s="20">
        <f>K9+K10+K11+K12</f>
        <v>2335160517.3976555</v>
      </c>
    </row>
    <row r="14" spans="1:11" x14ac:dyDescent="0.25">
      <c r="A14" t="s">
        <v>57</v>
      </c>
      <c r="B14" s="21">
        <f>1/(1+Assumptions!$B$26)^(1-0.5*Assumptions!$B$32)</f>
        <v>0.9475761113811424</v>
      </c>
      <c r="C14" s="21">
        <f>1/(1+Assumptions!$B$26)^(2-0.5*Assumptions!$B$32)</f>
        <v>0.8508290517462298</v>
      </c>
      <c r="D14" s="21">
        <f>1/(1+Assumptions!$B$26)^(3-0.5*Assumptions!$B$32)</f>
        <v>0.7639598197977481</v>
      </c>
      <c r="E14" s="21">
        <f>1/(1+Assumptions!$B$26)^(4-0.5*Assumptions!$B$32)</f>
        <v>0.6859598941380343</v>
      </c>
      <c r="F14" s="21">
        <f>1/(1+Assumptions!$B$26)^(5-0.5*Assumptions!$B$32)</f>
        <v>0.6159237229131173</v>
      </c>
      <c r="G14" s="21">
        <f>1/(1+Assumptions!$B$26)^(6-0.5*Assumptions!$B$32)</f>
        <v>0.5530382106724393</v>
      </c>
      <c r="H14" s="21">
        <f>1/(1+Assumptions!$B$26)^(7-0.5*Assumptions!$B$32)</f>
        <v>0.49657327861508116</v>
      </c>
      <c r="I14" s="21">
        <f>1/(1+Assumptions!$B$26)^(8-0.5*Assumptions!$B$32)</f>
        <v>0.4458733886302507</v>
      </c>
      <c r="J14" s="21">
        <f>1/(1+Assumptions!$B$26)^(9-0.5*Assumptions!$B$32)</f>
        <v>0.4003499327291125</v>
      </c>
      <c r="K14" s="21">
        <f>1/(1+Assumptions!$B$26)^(10-0.5*Assumptions!$B$32)</f>
        <v>0.35947439951192134</v>
      </c>
    </row>
    <row r="15" spans="1:11" x14ac:dyDescent="0.25">
      <c r="A15" s="19" t="s">
        <v>58</v>
      </c>
      <c r="B15" s="20">
        <f>B13*B14</f>
        <v>1025747488.766188</v>
      </c>
      <c r="C15" s="20">
        <f>C13*C14</f>
        <v>978169331.7732186</v>
      </c>
      <c r="D15" s="20">
        <f>D13*D14</f>
        <v>1000756079.208956</v>
      </c>
      <c r="E15" s="20">
        <f>E13*E14</f>
        <v>1011954791.8441446</v>
      </c>
      <c r="F15" s="20">
        <f>F13*F14</f>
        <v>1011236222.7744588</v>
      </c>
      <c r="G15" s="20">
        <f>G13*G14</f>
        <v>998484383.2240278</v>
      </c>
      <c r="H15" s="20">
        <f>H13*H14</f>
        <v>974011587.1427237</v>
      </c>
      <c r="I15" s="20">
        <f>I13*I14</f>
        <v>938548357.4438128</v>
      </c>
      <c r="J15" s="20">
        <f>J13*J14</f>
        <v>893208335.9648533</v>
      </c>
      <c r="K15" s="20">
        <f>K13*K14</f>
        <v>839430424.7554698</v>
      </c>
    </row>
    <row r="17" spans="1:2" x14ac:dyDescent="0.25">
      <c r="A17" s="22" t="s">
        <v>59</v>
      </c>
      <c r="B17" s="23">
        <f>SUM(B15:K15)</f>
        <v>9671547002.897854</v>
      </c>
    </row>
    <row r="19" spans="1:11" x14ac:dyDescent="0.25">
      <c r="A19" t="s">
        <v>7</v>
      </c>
      <c r="B19" s="9">
        <f>Assumptions!$B$10+($B$20-Assumptions!$B$10)*0/9</f>
        <v>0.11645433349936521</v>
      </c>
      <c r="C19" s="9">
        <f>Assumptions!$B$10+($B$20-Assumptions!$B$10)*1/9</f>
        <v>0.1168041158160994</v>
      </c>
      <c r="D19" s="9">
        <f>Assumptions!$B$10+($B$20-Assumptions!$B$10)*2/9</f>
        <v>0.11715389813283357</v>
      </c>
      <c r="E19" s="9">
        <f>Assumptions!$B$10+($B$20-Assumptions!$B$10)*3/9</f>
        <v>0.11750368044956776</v>
      </c>
      <c r="F19" s="9">
        <f>Assumptions!$B$10+($B$20-Assumptions!$B$10)*4/9</f>
        <v>0.11785346276630194</v>
      </c>
      <c r="G19" s="9">
        <f>Assumptions!$B$10+($B$20-Assumptions!$B$10)*5/9</f>
        <v>0.11820324508303612</v>
      </c>
      <c r="H19" s="9">
        <f>Assumptions!$B$10+($B$20-Assumptions!$B$10)*6/9</f>
        <v>0.1185530273997703</v>
      </c>
      <c r="I19" s="9">
        <f>Assumptions!$B$10+($B$20-Assumptions!$B$10)*7/9</f>
        <v>0.11890280971650449</v>
      </c>
      <c r="J19" s="9">
        <f>Assumptions!$B$10+($B$20-Assumptions!$B$10)*8/9</f>
        <v>0.11925259203323867</v>
      </c>
      <c r="K19" s="9">
        <f>Assumptions!$B$10+($B$20-Assumptions!$B$10)*9/9</f>
        <v>0.11960237434997285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0.11960237434997285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2335160517.3976555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2865129293.969305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0.1485406117485815</v>
      </c>
    </row>
    <row r="7" spans="1:2" x14ac:dyDescent="0.25">
      <c r="A7" t="s">
        <v>66</v>
      </c>
      <c r="B7" s="18">
        <f>-MAX(B5,0)*B6</f>
        <v>-425588058.06498194</v>
      </c>
    </row>
    <row r="8" spans="1:2" x14ac:dyDescent="0.25">
      <c r="A8" t="s">
        <v>67</v>
      </c>
      <c r="B8" s="18">
        <f>IF(OR(Assumptions!$B$33=0,Assumptions!B12&lt;=0),B5,MAX(B5+B7,0))</f>
        <v>2439541235.904323</v>
      </c>
    </row>
    <row r="9" spans="1:2" x14ac:dyDescent="0.25">
      <c r="A9" t="s">
        <v>68</v>
      </c>
      <c r="B9" s="18">
        <f>B8*(1+Assumptions!B12)/(Assumptions!B26-Assumptions!B12)</f>
        <v>28187953444.054764</v>
      </c>
    </row>
    <row r="10" spans="1:2" x14ac:dyDescent="0.25">
      <c r="A10" t="s">
        <v>69</v>
      </c>
      <c r="B10" s="18">
        <f>B9/(1+Assumptions!B26)^(10-0.5*Assumptions!B32)</f>
        <v>10132847637.771582</v>
      </c>
    </row>
    <row r="11" spans="1:2" x14ac:dyDescent="0.25">
      <c r="A11" t="s">
        <v>70</v>
      </c>
      <c r="B11" s="18">
        <f>Forecast!B17+B10</f>
        <v>19804394640.669434</v>
      </c>
    </row>
    <row r="12" spans="1:2" x14ac:dyDescent="0.25">
      <c r="A12" t="s">
        <v>71</v>
      </c>
      <c r="B12" s="18">
        <f>-Assumptions!B30</f>
        <v>-457200000</v>
      </c>
    </row>
    <row r="13" spans="1:2" x14ac:dyDescent="0.25">
      <c r="A13" t="s">
        <v>72</v>
      </c>
      <c r="B13" s="18">
        <f>B11+B12</f>
        <v>19347194640.669434</v>
      </c>
    </row>
    <row r="14" spans="1:2" x14ac:dyDescent="0.25">
      <c r="A14" s="19" t="s">
        <v>73</v>
      </c>
      <c r="B14" s="24">
        <f>B13/Assumptions!B31</f>
        <v>46.98201709730314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4438002006.768105</v>
      </c>
    </row>
    <row r="18" spans="1:2" x14ac:dyDescent="0.25">
      <c r="A18" t="s">
        <v>68</v>
      </c>
      <c r="B18" s="18">
        <f>B17*Assumptions!B13</f>
        <v>87579329783.79881</v>
      </c>
    </row>
    <row r="19" spans="1:2" x14ac:dyDescent="0.25">
      <c r="A19" t="s">
        <v>69</v>
      </c>
      <c r="B19" s="18">
        <f>B18/(1+Assumptions!B26)^(10-0.5*Assumptions!B32)</f>
        <v>31482526983.687607</v>
      </c>
    </row>
    <row r="20" spans="1:2" x14ac:dyDescent="0.25">
      <c r="A20" t="s">
        <v>70</v>
      </c>
      <c r="B20" s="18">
        <f>Forecast!B17+B19</f>
        <v>41154073986.585464</v>
      </c>
    </row>
    <row r="21" spans="1:2" x14ac:dyDescent="0.25">
      <c r="A21" t="s">
        <v>71</v>
      </c>
      <c r="B21" s="18">
        <f>-Assumptions!B30</f>
        <v>-457200000</v>
      </c>
    </row>
    <row r="22" spans="1:2" x14ac:dyDescent="0.25">
      <c r="A22" t="s">
        <v>72</v>
      </c>
      <c r="B22" s="18">
        <f>B20+B21</f>
        <v>40696873986.585464</v>
      </c>
    </row>
    <row r="23" spans="1:2" x14ac:dyDescent="0.25">
      <c r="A23" s="19" t="s">
        <v>73</v>
      </c>
      <c r="B23" s="25">
        <f>B22/Assumptions!B31</f>
        <v>98.82679452789088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71.67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46.98201709730314</v>
      </c>
    </row>
    <row r="29" spans="1:2" x14ac:dyDescent="0.25">
      <c r="A29" s="19" t="s">
        <v>81</v>
      </c>
      <c r="B29" s="11">
        <f>B28/B26-1</f>
        <v>-0.34446746062085754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0.093709</v>
      </c>
      <c r="B5" s="31">
        <v>60.461392367425226</v>
      </c>
      <c r="C5" s="31">
        <v>61.29468071452698</v>
      </c>
      <c r="D5" s="31">
        <v>62.30861154768626</v>
      </c>
      <c r="E5" s="31">
        <v>63.54571633484111</v>
      </c>
      <c r="F5" s="31">
        <v>65.06301545293432</v>
      </c>
    </row>
    <row r="6" spans="1:6" x14ac:dyDescent="0.25">
      <c r="A6" s="30">
        <v>0.103709</v>
      </c>
      <c r="B6" s="31">
        <v>52.768680918431635</v>
      </c>
      <c r="C6" s="31">
        <v>53.15988247286468</v>
      </c>
      <c r="D6" s="31">
        <v>53.64982666826877</v>
      </c>
      <c r="E6" s="31">
        <v>54.25860792479029</v>
      </c>
      <c r="F6" s="31">
        <v>55.01216980028573</v>
      </c>
    </row>
    <row r="7" spans="1:6" x14ac:dyDescent="0.25">
      <c r="A7" s="30">
        <v>0.113709</v>
      </c>
      <c r="B7" s="31">
        <v>46.68136481531796</v>
      </c>
      <c r="C7" s="31">
        <v>46.80421005106917</v>
      </c>
      <c r="D7" s="32">
        <v>46.98211343969675</v>
      </c>
      <c r="E7" s="31">
        <v>47.22494097282823</v>
      </c>
      <c r="F7" s="31">
        <v>47.54506559596609</v>
      </c>
    </row>
    <row r="8" spans="1:6" x14ac:dyDescent="0.25">
      <c r="A8" s="30">
        <v>0.123709</v>
      </c>
      <c r="B8" s="31">
        <v>41.75323048069423</v>
      </c>
      <c r="C8" s="31">
        <v>41.71009908693167</v>
      </c>
      <c r="D8" s="31">
        <v>41.69770204940714</v>
      </c>
      <c r="E8" s="31">
        <v>41.720959016645054</v>
      </c>
      <c r="F8" s="31">
        <v>41.78589880276159</v>
      </c>
    </row>
    <row r="9" spans="1:6" x14ac:dyDescent="0.25">
      <c r="A9" s="30">
        <v>0.133709</v>
      </c>
      <c r="B9" s="31">
        <v>37.68867264015011</v>
      </c>
      <c r="C9" s="31">
        <v>37.54228331265363</v>
      </c>
      <c r="D9" s="31">
        <v>37.412664278028004</v>
      </c>
      <c r="E9" s="31">
        <v>37.302241115471446</v>
      </c>
      <c r="F9" s="31">
        <v>37.21393086477804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5995400000</v>
      </c>
      <c r="C5" s="18">
        <v>7082300000</v>
      </c>
      <c r="D5" s="18">
        <v>8253000000</v>
      </c>
      <c r="E5" s="18">
        <v>8326200000</v>
      </c>
      <c r="F5" s="6" t="s">
        <v>91</v>
      </c>
    </row>
    <row r="6" spans="1:6" x14ac:dyDescent="0.25">
      <c r="A6" t="s">
        <v>51</v>
      </c>
      <c r="B6" s="18">
        <v>751100000</v>
      </c>
      <c r="C6" s="18">
        <v>1901600000</v>
      </c>
      <c r="D6" s="18">
        <v>2613600000</v>
      </c>
      <c r="E6" s="18">
        <v>2764700000</v>
      </c>
      <c r="F6" s="6" t="s">
        <v>92</v>
      </c>
    </row>
    <row r="7" spans="1:6" x14ac:dyDescent="0.25">
      <c r="A7" t="s">
        <v>93</v>
      </c>
      <c r="B7" s="18">
        <v>686000000</v>
      </c>
      <c r="C7" s="18">
        <v>642900000</v>
      </c>
      <c r="D7" s="18">
        <v>609500000</v>
      </c>
      <c r="E7" s="18">
        <v>551800000</v>
      </c>
      <c r="F7" s="6" t="s">
        <v>94</v>
      </c>
    </row>
    <row r="8" spans="1:6" x14ac:dyDescent="0.25">
      <c r="A8" t="s">
        <v>95</v>
      </c>
      <c r="B8" s="18">
        <v>341200000</v>
      </c>
      <c r="C8" s="18">
        <v>694000000</v>
      </c>
      <c r="D8" s="18">
        <v>1539100000</v>
      </c>
      <c r="E8" s="18">
        <v>1036000000</v>
      </c>
      <c r="F8" s="6" t="s">
        <v>96</v>
      </c>
    </row>
    <row r="9" spans="1:6" x14ac:dyDescent="0.25">
      <c r="A9" t="s">
        <v>97</v>
      </c>
      <c r="B9" s="18">
        <v>-493000000</v>
      </c>
      <c r="C9" s="18">
        <v>382000000</v>
      </c>
      <c r="D9" s="18">
        <v>862700000</v>
      </c>
      <c r="E9" s="18">
        <v>250400000</v>
      </c>
      <c r="F9" s="6" t="s">
        <v>98</v>
      </c>
    </row>
    <row r="10" spans="1:6" x14ac:dyDescent="0.25">
      <c r="A10" t="s">
        <v>99</v>
      </c>
      <c r="B10" s="18">
        <v>3004800000</v>
      </c>
      <c r="C10" s="18">
        <v>3366900000</v>
      </c>
      <c r="D10" s="18">
        <v>3359800000</v>
      </c>
      <c r="E10" s="18">
        <v>3230700000</v>
      </c>
      <c r="F10" s="6" t="s">
        <v>100</v>
      </c>
    </row>
    <row r="11" spans="1:6" x14ac:dyDescent="0.25">
      <c r="A11" t="s">
        <v>101</v>
      </c>
      <c r="B11" s="18">
        <v>2547600000</v>
      </c>
      <c r="C11" s="18">
        <v>2991300000</v>
      </c>
      <c r="D11" s="18">
        <v>2483000000</v>
      </c>
      <c r="E11" s="18">
        <v>2919000000</v>
      </c>
      <c r="F11" s="6" t="s">
        <v>102</v>
      </c>
    </row>
    <row r="12" spans="1:6" x14ac:dyDescent="0.25">
      <c r="A12" t="s">
        <v>34</v>
      </c>
      <c r="B12" s="34">
        <v>411800000</v>
      </c>
      <c r="C12" s="34">
        <v>432700000</v>
      </c>
      <c r="D12" s="34">
        <v>446800000</v>
      </c>
      <c r="E12" s="34">
        <v>448200000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