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<sst xmlns="http://schemas.openxmlformats.org/spreadsheetml/2006/main" count="113" uniqueCount="101">
  <si>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Oil and Natural Gas Corporation Limited (ONGC.NS)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</si>
  <si>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</si>
  <si>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</si>
  <si>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</si>
  <si>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</si>
  <si>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</si>
  <si>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</si>
  <si>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</si>
  <si>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</si>
  <si>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</si>
  <si>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</si>
  <si>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</si>
  <si>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</si>
  <si>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</si>
  <si>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</si>
  <si>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</si>
  <si>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</si>
  <si>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</si>
  <si>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</si>
  <si>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</si>
  <si>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</si>
  <si>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</si>
  <si>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</si>
  <si>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</si>
  <si>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</si>
  <si>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</si>
  <si>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</si>
  <si>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</si>
  <si>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</si>
  <si>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</si>
  <si>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</si>
  <si>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</si>
  <si>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</si>
  <si>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</si>
  <si>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</si>
  <si>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</si>
  <si>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</si>
  <si>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</si>
  <si>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</si>
  <si>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</si>
  <si>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</si>
  <si>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</si>
  <si>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</si>
  <si>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</si>
  <si>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</si>
  <si>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</si>
  <si>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</si>
  <si>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</si>
  <si>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</si>
  <si>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</si>
  <si>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</si>
  <si>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</si>
  <si>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</si>
  <si>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</si>
  <si>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</si>
  <si>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</si>
  <si>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</si>
  <si>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</si>
  <si>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</si>
  <si>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</si>
  <si>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</si>
  <si>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</si>
  <si>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</si>
  <si>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</si>
  <si>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</si>
  <si>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</si>
  <si>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</si>
  <si>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</si>
  <si>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</si>
  <si>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</si>
  <si>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</si>
  <si>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</si>
  <si>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</si>
  <si>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</si>
  <si>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</si>
  <si>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</si>
  <si>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</si>
  <si>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</si>
  <si>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</si>
  <si>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</si>
  <si>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</si>
  <si>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</si>
  <si>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</si>
  <si>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</si>
  <si>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</si>
  <si>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</si>
  <si>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</si>
  <si>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</si>
  <si>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</si>
  <si>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</si>
  <si>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</si>
  <si>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</si>
  <si>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</si>
  <si>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</si>
  <si>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</si>
  <si>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</si>
  <si>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</si>
  <si>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</si>
  <si>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8.7% of revenue against depreciation of 5.3%.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</si>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</sst>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-0.013000309277934274</v>
      </c>
    </row>
    <row r="7" spans="1:2" x14ac:dyDescent="0.25">
      <c r="A7" t="s">
        <v>5</v>
      </c>
      <c r="B7" s="6">
        <v>0.11882310223650072</v>
      </c>
    </row>
    <row r="8" spans="1:2" x14ac:dyDescent="0.25">
      <c r="A8" t="s">
        <v>6</v>
      </c>
      <c r="B8" s="6">
        <v>0.252</v>
      </c>
    </row>
    <row r="9" spans="1:2" x14ac:dyDescent="0.25">
      <c r="A9" t="s">
        <v>7</v>
      </c>
      <c r="B9" s="6">
        <v>0.05307536490905682</v>
      </c>
    </row>
    <row r="10" spans="1:2" x14ac:dyDescent="0.25">
      <c r="A10" t="s">
        <v>8</v>
      </c>
      <c r="B10" s="6">
        <v>0.08714798107380266</v>
      </c>
    </row>
    <row r="11" spans="1:2" x14ac:dyDescent="0.25">
      <c r="A11" t="s">
        <v>9</v>
      </c>
      <c r="B11" s="6">
        <v>0.007411218155848373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3.617225095586818</v>
      </c>
    </row>
    <row r="14" spans="1:3" x14ac:dyDescent="0.25">
      <c r="A14" t="s">
        <v>12</v>
      </c>
      <c r="B14" s="6">
        <v>0.11418338057759747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0.39498999999999995</v>
      </c>
      <c r="C19" s="8" t="s">
        <v>19</v>
      </c>
    </row>
    <row r="20" spans="1:2" x14ac:dyDescent="0.25">
      <c r="A20" t="s">
        <v>20</v>
      </c>
      <c r="B20" s="10">
        <f>B17+B19*B18</f>
        <v>0.0995992</v>
      </c>
    </row>
    <row r="21" spans="1:3" x14ac:dyDescent="0.25">
      <c r="A21" t="s">
        <v>21</v>
      </c>
      <c r="B21" s="6">
        <v>0.068</v>
      </c>
      <c r="C21" s="8" t="s">
        <v>22</v>
      </c>
    </row>
    <row r="22" spans="1:2" x14ac:dyDescent="0.25">
      <c r="A22" t="s">
        <v>23</v>
      </c>
      <c r="B22" s="11">
        <v>2928689020928</v>
      </c>
    </row>
    <row r="23" spans="1:2" x14ac:dyDescent="0.25">
      <c r="A23" t="s">
        <v>24</v>
      </c>
      <c r="B23" s="11">
        <v>1742991330000</v>
      </c>
    </row>
    <row r="24" spans="1:2" x14ac:dyDescent="0.25">
      <c r="A24" t="s">
        <v>25</v>
      </c>
      <c r="B24" s="10">
        <f>B22/(B22+B23)</f>
        <v>0.6269026990141212</v>
      </c>
    </row>
    <row r="25" spans="1:2" x14ac:dyDescent="0.25">
      <c r="A25" t="s">
        <v>26</v>
      </c>
      <c r="B25" s="10">
        <f>1-B24</f>
        <v>0.3730973009858788</v>
      </c>
    </row>
    <row r="26" spans="1:2" x14ac:dyDescent="0.25">
      <c r="A26" t="s">
        <v>27</v>
      </c>
      <c r="B26" s="12">
        <f>B24*B20+B25*B21*(1-B8)</f>
        <v>0.081416228416993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6052764580000</v>
      </c>
      <c r="C29" s="8" t="s">
        <v>30</v>
      </c>
    </row>
    <row r="30" spans="1:2" x14ac:dyDescent="0.25">
      <c r="A30" t="s">
        <v>31</v>
      </c>
      <c r="B30" s="11">
        <v>1379070350000</v>
      </c>
    </row>
    <row r="31" spans="1:2" x14ac:dyDescent="0.25">
      <c r="A31" t="s">
        <v>32</v>
      </c>
      <c r="B31" s="13">
        <v>12580280000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-0.013000309277934274</v>
      </c>
      <c r="C5" s="10">
        <f>Assumptions!B6</f>
        <v>-0.013000309277934274</v>
      </c>
      <c r="D5" s="10">
        <f>Assumptions!B6</f>
        <v>-0.013000309277934274</v>
      </c>
      <c r="E5" s="10">
        <f>Assumptions!B6</f>
        <v>-0.013000309277934274</v>
      </c>
      <c r="F5" s="10">
        <f>Assumptions!B6</f>
        <v>-0.013000309277934274</v>
      </c>
    </row>
    <row r="6" spans="1:6" x14ac:dyDescent="0.25">
      <c r="A6" t="s">
        <v>43</v>
      </c>
      <c r="B6" s="18">
        <f>Assumptions!B29*(1+B5)</f>
        <v>5974076768473.474</v>
      </c>
      <c r="C6" s="18">
        <f>B6*(1+C5)</f>
        <v>5896411922833.196</v>
      </c>
      <c r="D6" s="18">
        <f>C6*(1+D5)</f>
        <v>5819756744206.266</v>
      </c>
      <c r="E6" s="18">
        <f>D6*(1+E5)</f>
        <v>5744098106609.24</v>
      </c>
      <c r="F6" s="18">
        <f>E6*(1+F5)</f>
        <v>5669423054700.523</v>
      </c>
    </row>
    <row r="7" spans="1:6" x14ac:dyDescent="0.25">
      <c r="A7" t="s">
        <v>5</v>
      </c>
      <c r="B7" s="10">
        <f>Assumptions!B7</f>
        <v>0.11882310223650072</v>
      </c>
      <c r="C7" s="10">
        <f>Assumptions!B7</f>
        <v>0.11882310223650072</v>
      </c>
      <c r="D7" s="10">
        <f>Assumptions!B7</f>
        <v>0.11882310223650072</v>
      </c>
      <c r="E7" s="10">
        <f>Assumptions!B7</f>
        <v>0.11882310223650072</v>
      </c>
      <c r="F7" s="10">
        <f>Assumptions!B7</f>
        <v>0.11882310223650072</v>
      </c>
    </row>
    <row r="8" spans="1:6" x14ac:dyDescent="0.25">
      <c r="A8" t="s">
        <v>44</v>
      </c>
      <c r="B8" s="18">
        <f>B6*B7</f>
        <v>709858334629.0275</v>
      </c>
      <c r="C8" s="18">
        <f>C6*C7</f>
        <v>700629956735.3307</v>
      </c>
      <c r="D8" s="18">
        <f>D6*D7</f>
        <v>691521550608.3856</v>
      </c>
      <c r="E8" s="18">
        <f>E6*E7</f>
        <v>682531556578.12</v>
      </c>
      <c r="F8" s="18">
        <f>F6*F7</f>
        <v>673658435250.6545</v>
      </c>
    </row>
    <row r="9" spans="1:6" x14ac:dyDescent="0.25">
      <c r="A9" t="s">
        <v>45</v>
      </c>
      <c r="B9" s="18">
        <f>B8*(1-Assumptions!B8)</f>
        <v>530974034302.5126</v>
      </c>
      <c r="C9" s="18">
        <f>C8*(1-Assumptions!B8)</f>
        <v>524071207638.02734</v>
      </c>
      <c r="D9" s="18">
        <f>D8*(1-Assumptions!B8)</f>
        <v>517258119855.07245</v>
      </c>
      <c r="E9" s="18">
        <f>E8*(1-Assumptions!B8)</f>
        <v>510533604320.4338</v>
      </c>
      <c r="F9" s="18">
        <f>F8*(1-Assumptions!B8)</f>
        <v>503896509567.4896</v>
      </c>
    </row>
    <row r="10" spans="1:6" x14ac:dyDescent="0.25">
      <c r="A10" t="s">
        <v>46</v>
      </c>
      <c r="B10" s="18">
        <f>B6*Assumptions!B9</f>
        <v>317076304481.4486</v>
      </c>
      <c r="C10" s="18">
        <f>C6*Assumptions!B9</f>
        <v>312954214458.4853</v>
      </c>
      <c r="D10" s="18">
        <f>D6*Assumptions!B9</f>
        <v>308885712880.692</v>
      </c>
      <c r="E10" s="18">
        <f>E6*Assumptions!B9</f>
        <v>304870103081.7078</v>
      </c>
      <c r="F10" s="18">
        <f>F6*Assumptions!B9</f>
        <v>300906697452.0499</v>
      </c>
    </row>
    <row r="11" spans="1:6" x14ac:dyDescent="0.25">
      <c r="A11" t="s">
        <v>47</v>
      </c>
      <c r="B11" s="18">
        <f>-B6*Assumptions!B10</f>
        <v>-520628729152.3704</v>
      </c>
      <c r="C11" s="18">
        <f>-C6*Assumptions!B10</f>
        <v>-513860394654.41174</v>
      </c>
      <c r="D11" s="18">
        <f>-D6*Assumptions!B10</f>
        <v>-507180050598.223</v>
      </c>
      <c r="E11" s="18">
        <f>-E6*Assumptions!B10</f>
        <v>-500586553080.8478</v>
      </c>
      <c r="F11" s="18">
        <f>-F6*Assumptions!B10</f>
        <v>-494078773070.4217</v>
      </c>
    </row>
    <row r="12" spans="1:6" x14ac:dyDescent="0.25">
      <c r="A12" t="s">
        <v>48</v>
      </c>
      <c r="B12" s="18">
        <f>-(B6-Assumptions!B29)*Assumptions!B11</f>
        <v>583172537.4293671</v>
      </c>
      <c r="C12" s="18">
        <f>-(C6-B6)*Assumptions!B11</f>
        <v>575591114.0803849</v>
      </c>
      <c r="D12" s="18">
        <f>-(D6-C6)*Assumptions!B11</f>
        <v>568108251.5797087</v>
      </c>
      <c r="E12" s="18">
        <f>-(E6-D6)*Assumptions!B11</f>
        <v>560722668.6058269</v>
      </c>
      <c r="F12" s="18">
        <f>-(F6-E6)*Assumptions!B11</f>
        <v>553433100.4948016</v>
      </c>
    </row>
    <row r="13" spans="1:6" x14ac:dyDescent="0.25">
      <c r="A13" s="19" t="s">
        <v>49</v>
      </c>
      <c r="B13" s="20">
        <f>B9+B10+B11+B12</f>
        <v>328004782169.02014</v>
      </c>
      <c r="C13" s="20">
        <f>C9+C10+C11+C12</f>
        <v>323740618556.18134</v>
      </c>
      <c r="D13" s="20">
        <f>D9+D10+D11+D12</f>
        <v>319531890389.1211</v>
      </c>
      <c r="E13" s="20">
        <f>E9+E10+E11+E12</f>
        <v>315377876989.89966</v>
      </c>
      <c r="F13" s="20">
        <f>F9+F10+F11+F12</f>
        <v>311277867049.6127</v>
      </c>
    </row>
    <row r="14" spans="1:6" x14ac:dyDescent="0.25">
      <c r="A14" t="s">
        <v>50</v>
      </c>
      <c r="B14" s="21">
        <f>1/(1+Assumptions!$B$26)^(1-0.5*Assumptions!$B$32)</f>
        <v>0.96162015808329</v>
      </c>
      <c r="C14" s="21">
        <f>1/(1+Assumptions!$B$26)^(2-0.5*Assumptions!$B$32)</f>
        <v>0.8892229770686317</v>
      </c>
      <c r="D14" s="21">
        <f>1/(1+Assumptions!$B$26)^(3-0.5*Assumptions!$B$32)</f>
        <v>0.8222763388434635</v>
      </c>
      <c r="E14" s="21">
        <f>1/(1+Assumptions!$B$26)^(4-0.5*Assumptions!$B$32)</f>
        <v>0.7603698901829264</v>
      </c>
      <c r="F14" s="21">
        <f>1/(1+Assumptions!$B$26)^(5-0.5*Assumptions!$B$32)</f>
        <v>0.7031241719906284</v>
      </c>
    </row>
    <row r="15" spans="1:6" x14ac:dyDescent="0.25">
      <c r="A15" s="19" t="s">
        <v>51</v>
      </c>
      <c r="B15" s="20">
        <f>B13*B14</f>
        <v>315416010481.44824</v>
      </c>
      <c r="C15" s="20">
        <f>C13*C14</f>
        <v>287877596630.5679</v>
      </c>
      <c r="D15" s="20">
        <f>D13*D14</f>
        <v>262743512972.89737</v>
      </c>
      <c r="E15" s="20">
        <f>E13*E14</f>
        <v>239803841692.93448</v>
      </c>
      <c r="F15" s="20">
        <f>F13*F14</f>
        <v>218866992528.26782</v>
      </c>
    </row>
    <row r="17" spans="1:2" x14ac:dyDescent="0.25">
      <c r="A17" s="22" t="s">
        <v>52</v>
      </c>
      <c r="B17" s="23">
        <f>SUM(B15:F15)</f>
        <v>1324707954306.1157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311277867049.6127</v>
      </c>
    </row>
    <row r="5" spans="1:2" x14ac:dyDescent="0.25">
      <c r="A5" t="s">
        <v>56</v>
      </c>
      <c r="B5" s="18">
        <f>IF(Assumptions!$B$33=0,B4,B4-Forecast!F11-Forecast!F10-Forecast!F12)</f>
        <v>505246080137.14777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0.21894604865907208</v>
      </c>
    </row>
    <row r="7" spans="1:2" x14ac:dyDescent="0.25">
      <c r="A7" t="s">
        <v>58</v>
      </c>
      <c r="B7" s="18">
        <f>-MAX(Forecast!F9,0)*B6</f>
        <v>-110621632846.51338</v>
      </c>
    </row>
    <row r="8" spans="1:2" x14ac:dyDescent="0.25">
      <c r="A8" t="s">
        <v>59</v>
      </c>
      <c r="B8" s="18">
        <f>IF(OR(Assumptions!$B$33=0,Assumptions!B12&lt;=0),B5,MAX(B5+B7,0))</f>
        <v>394624447290.6344</v>
      </c>
    </row>
    <row r="9" spans="1:2" x14ac:dyDescent="0.25">
      <c r="A9" t="s">
        <v>60</v>
      </c>
      <c r="B9" s="18">
        <f>B8*(1+Assumptions!B12)/(Assumptions!B26-Assumptions!B12)</f>
        <v>7169746539651.075</v>
      </c>
    </row>
    <row r="10" spans="1:2" x14ac:dyDescent="0.25">
      <c r="A10" t="s">
        <v>61</v>
      </c>
      <c r="B10" s="18">
        <f>B9/(1+Assumptions!B26)^(5-0.5*Assumptions!B32)</f>
        <v>5041222099074.835</v>
      </c>
    </row>
    <row r="11" spans="1:2" x14ac:dyDescent="0.25">
      <c r="A11" t="s">
        <v>62</v>
      </c>
      <c r="B11" s="18">
        <f>Forecast!B17+B10</f>
        <v>6365930053380.951</v>
      </c>
    </row>
    <row r="12" spans="1:2" x14ac:dyDescent="0.25">
      <c r="A12" t="s">
        <v>63</v>
      </c>
      <c r="B12" s="18">
        <f>-Assumptions!B30</f>
        <v>-1379070350000</v>
      </c>
    </row>
    <row r="13" spans="1:2" x14ac:dyDescent="0.25">
      <c r="A13" t="s">
        <v>64</v>
      </c>
      <c r="B13" s="18">
        <f>B11+B12</f>
        <v>4986859703380.951</v>
      </c>
    </row>
    <row r="14" spans="1:2" x14ac:dyDescent="0.25">
      <c r="A14" s="19" t="s">
        <v>65</v>
      </c>
      <c r="B14" s="24">
        <f>B13/Assumptions!B31</f>
        <v>396.4029181688286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974565132702.7045</v>
      </c>
    </row>
    <row r="18" spans="1:2" x14ac:dyDescent="0.25">
      <c r="A18" t="s">
        <v>60</v>
      </c>
      <c r="B18" s="18">
        <f>B17*Assumptions!B13</f>
        <v>3525221455296.12</v>
      </c>
    </row>
    <row r="19" spans="1:2" x14ac:dyDescent="0.25">
      <c r="A19" t="s">
        <v>61</v>
      </c>
      <c r="B19" s="18">
        <f>B18/(1+Assumptions!B26)^(5-0.5*Assumptions!B32)</f>
        <v>2478668416838.6826</v>
      </c>
    </row>
    <row r="20" spans="1:2" x14ac:dyDescent="0.25">
      <c r="A20" t="s">
        <v>62</v>
      </c>
      <c r="B20" s="18">
        <f>Forecast!B17+B19</f>
        <v>3803376371144.7983</v>
      </c>
    </row>
    <row r="21" spans="1:2" x14ac:dyDescent="0.25">
      <c r="A21" t="s">
        <v>63</v>
      </c>
      <c r="B21" s="18">
        <f>-Assumptions!B30</f>
        <v>-1379070350000</v>
      </c>
    </row>
    <row r="22" spans="1:2" x14ac:dyDescent="0.25">
      <c r="A22" t="s">
        <v>64</v>
      </c>
      <c r="B22" s="18">
        <f>B20+B21</f>
        <v>2424306021144.7983</v>
      </c>
    </row>
    <row r="23" spans="1:2" x14ac:dyDescent="0.25">
      <c r="A23" s="19" t="s">
        <v>65</v>
      </c>
      <c r="B23" s="25">
        <f>B22/Assumptions!B31</f>
        <v>192.70684127418454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232.8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396.4029181688286</v>
      </c>
    </row>
    <row r="29" spans="1:2" x14ac:dyDescent="0.25">
      <c r="A29" s="19" t="s">
        <v>73</v>
      </c>
      <c r="B29" s="12">
        <f>B28/B26-1</f>
        <v>0.7027616759829407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0.061416</v>
      </c>
      <c r="B5" s="31">
        <v>583.7667323056454</v>
      </c>
      <c r="C5" s="31">
        <v>624.2957319676563</v>
      </c>
      <c r="D5" s="31">
        <v>675.5848606829737</v>
      </c>
      <c r="E5" s="31">
        <v>742.7716896191438</v>
      </c>
      <c r="F5" s="31">
        <v>834.8835318937006</v>
      </c>
    </row>
    <row r="6" spans="1:6" x14ac:dyDescent="0.25">
      <c r="A6" s="30">
        <v>0.071416</v>
      </c>
      <c r="B6" s="31">
        <v>458.131631754658</v>
      </c>
      <c r="C6" s="31">
        <v>479.788504623405</v>
      </c>
      <c r="D6" s="31">
        <v>505.8334184099548</v>
      </c>
      <c r="E6" s="31">
        <v>537.8556288069638</v>
      </c>
      <c r="F6" s="31">
        <v>578.317225257448</v>
      </c>
    </row>
    <row r="7" spans="1:6" x14ac:dyDescent="0.25">
      <c r="A7" s="30">
        <v>0.081416</v>
      </c>
      <c r="B7" s="31">
        <v>370.5434062437674</v>
      </c>
      <c r="C7" s="31">
        <v>382.5221387252253</v>
      </c>
      <c r="D7" s="32">
        <v>396.4049730612413</v>
      </c>
      <c r="E7" s="31">
        <v>412.7474080813314</v>
      </c>
      <c r="F7" s="31">
        <v>432.34429922890104</v>
      </c>
    </row>
    <row r="8" spans="1:6" x14ac:dyDescent="0.25">
      <c r="A8" s="30">
        <v>0.091416</v>
      </c>
      <c r="B8" s="31">
        <v>306.053774240133</v>
      </c>
      <c r="C8" s="31">
        <v>312.6420572735701</v>
      </c>
      <c r="D8" s="31">
        <v>320.0436841342076</v>
      </c>
      <c r="E8" s="31">
        <v>328.4573026891809</v>
      </c>
      <c r="F8" s="31">
        <v>338.1519833336801</v>
      </c>
    </row>
    <row r="9" spans="1:6" x14ac:dyDescent="0.25">
      <c r="A9" s="30">
        <v>0.101416</v>
      </c>
      <c r="B9" s="31">
        <v>256.63437148559814</v>
      </c>
      <c r="C9" s="31">
        <v>260.04891505369903</v>
      </c>
      <c r="D9" s="31">
        <v>263.76128523390423</v>
      </c>
      <c r="E9" s="31">
        <v>267.83403662436507</v>
      </c>
      <c r="F9" s="31">
        <v>272.3485610305776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6052764580000</v>
      </c>
      <c r="C5" s="18">
        <v>6089529140000</v>
      </c>
      <c r="D5" s="18">
        <v>5986442330000</v>
      </c>
      <c r="E5" s="18">
        <v>6295101440000</v>
      </c>
      <c r="F5" s="8" t="s">
        <v>84</v>
      </c>
    </row>
    <row r="6" spans="1:6" x14ac:dyDescent="0.25">
      <c r="A6" t="s">
        <v>44</v>
      </c>
      <c r="B6" s="18">
        <v>818276220000</v>
      </c>
      <c r="C6" s="18">
        <v>636184100000</v>
      </c>
      <c r="D6" s="18">
        <v>770452840000</v>
      </c>
      <c r="E6" s="18">
        <v>673138310000</v>
      </c>
      <c r="F6" s="8" t="s">
        <v>85</v>
      </c>
    </row>
    <row r="7" spans="1:6" x14ac:dyDescent="0.25">
      <c r="A7" t="s">
        <v>86</v>
      </c>
      <c r="B7" s="18">
        <v>372625440000</v>
      </c>
      <c r="C7" s="18">
        <v>346927980000</v>
      </c>
      <c r="D7" s="18">
        <v>315149280000</v>
      </c>
      <c r="E7" s="18">
        <v>258876870000</v>
      </c>
      <c r="F7" s="8" t="s">
        <v>87</v>
      </c>
    </row>
    <row r="8" spans="1:6" x14ac:dyDescent="0.25">
      <c r="A8" t="s">
        <v>88</v>
      </c>
      <c r="B8" s="18">
        <v>539904820000</v>
      </c>
      <c r="C8" s="18">
        <v>556742700000</v>
      </c>
      <c r="D8" s="18">
        <v>521188110000</v>
      </c>
      <c r="E8" s="18">
        <v>509302520000</v>
      </c>
      <c r="F8" s="8" t="s">
        <v>89</v>
      </c>
    </row>
    <row r="9" spans="1:6" x14ac:dyDescent="0.25">
      <c r="A9" t="s">
        <v>90</v>
      </c>
      <c r="B9" s="18">
        <v>-75363180000</v>
      </c>
      <c r="C9" s="18">
        <v>-13563890000</v>
      </c>
      <c r="D9" s="18">
        <v>-2287540000</v>
      </c>
      <c r="E9" s="18">
        <v>-87090040000</v>
      </c>
      <c r="F9" s="8" t="s">
        <v>91</v>
      </c>
    </row>
    <row r="10" spans="1:6" x14ac:dyDescent="0.25">
      <c r="A10" t="s">
        <v>92</v>
      </c>
      <c r="B10" s="18">
        <v>1742991330000</v>
      </c>
      <c r="C10" s="18">
        <v>2188805840000</v>
      </c>
      <c r="D10" s="18">
        <v>1911952270000</v>
      </c>
      <c r="E10" s="18">
        <v>1767440370000</v>
      </c>
      <c r="F10" s="8" t="s">
        <v>93</v>
      </c>
    </row>
    <row r="11" spans="1:6" x14ac:dyDescent="0.25">
      <c r="A11" t="s">
        <v>94</v>
      </c>
      <c r="B11" s="18">
        <v>363920980000</v>
      </c>
      <c r="C11" s="18">
        <v>303416150000</v>
      </c>
      <c r="D11" s="18">
        <v>457046840000</v>
      </c>
      <c r="E11" s="18">
        <v>435567380000</v>
      </c>
      <c r="F11" s="8" t="s">
        <v>95</v>
      </c>
    </row>
    <row r="12" spans="1:6" x14ac:dyDescent="0.25">
      <c r="A12" t="s">
        <v>32</v>
      </c>
      <c r="B12" s="34">
        <v>12580280000</v>
      </c>
      <c r="C12" s="34">
        <v>12580280000</v>
      </c>
      <c r="D12" s="34">
        <v>12580280000</v>
      </c>
      <c r="E12" s="34">
        <v>12580280000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2026-09-19T01:06:06Z</dcterms:modified>
</cp:coreProperties>
</file>