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<sst xmlns="http://schemas.openxmlformats.org/spreadsheetml/2006/main" count="113" uniqueCount="101">
  <si>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Orora Limited (ORA.AX)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</si>
  <si>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</si>
  <si>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</si>
  <si>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</si>
  <si>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</si>
  <si>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</si>
  <si>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</si>
  <si>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</si>
  <si>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</si>
  <si>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</si>
  <si>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</si>
  <si>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</si>
  <si>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</si>
  <si>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</si>
  <si>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</si>
  <si>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</si>
  <si>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</si>
  <si>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</si>
  <si>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</si>
  <si>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</si>
  <si>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</si>
  <si>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</si>
  <si>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</si>
  <si>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</si>
  <si>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</si>
  <si>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</si>
  <si>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</si>
  <si>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</si>
  <si>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</si>
  <si>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</si>
  <si>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</si>
  <si>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</si>
  <si>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</si>
  <si>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</si>
  <si>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</si>
  <si>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</si>
  <si>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</si>
  <si>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</si>
  <si>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</si>
  <si>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</si>
  <si>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</si>
  <si>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</si>
  <si>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</si>
  <si>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</si>
  <si>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</si>
  <si>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</si>
  <si>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</si>
  <si>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</si>
  <si>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</si>
  <si>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</si>
  <si>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</si>
  <si>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</si>
  <si>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</si>
  <si>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</si>
  <si>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</si>
  <si>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</si>
  <si>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</si>
  <si>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</si>
  <si>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</si>
  <si>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</si>
  <si>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</si>
  <si>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</si>
  <si>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</si>
  <si>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</si>
  <si>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</si>
  <si>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</si>
  <si>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</si>
  <si>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</si>
  <si>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</si>
  <si>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</si>
  <si>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</si>
  <si>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</si>
  <si>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</si>
  <si>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</si>
  <si>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</si>
  <si>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</si>
  <si>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</si>
  <si>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</si>
  <si>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</si>
  <si>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</si>
  <si>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</si>
  <si>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</si>
  <si>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</si>
  <si>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</si>
  <si>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</si>
  <si>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</si>
  <si>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</si>
  <si>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</si>
  <si>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</si>
  <si>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</si>
  <si>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</si>
  <si>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</si>
  <si>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</si>
  <si>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</si>
  <si>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</si>
  <si>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</si>
  <si>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</si>
  <si>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</si>
  <si>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</si>
  <si>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7.9% of revenue against depreciation of 5.6%.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</si>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</sst>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-0.1965252047864421</v>
      </c>
    </row>
    <row r="7" spans="1:2" x14ac:dyDescent="0.25">
      <c r="A7" t="s">
        <v>5</v>
      </c>
      <c r="B7" s="6">
        <v>0.03492481094763092</v>
      </c>
    </row>
    <row r="8" spans="1:2" x14ac:dyDescent="0.25">
      <c r="A8" t="s">
        <v>6</v>
      </c>
      <c r="B8" s="6">
        <v>0.25182186234817816</v>
      </c>
    </row>
    <row r="9" spans="1:2" x14ac:dyDescent="0.25">
      <c r="A9" t="s">
        <v>7</v>
      </c>
      <c r="B9" s="6">
        <v>0.05631195060971412</v>
      </c>
    </row>
    <row r="10" spans="1:2" x14ac:dyDescent="0.25">
      <c r="A10" t="s">
        <v>8</v>
      </c>
      <c r="B10" s="6">
        <v>0.07864039174615664</v>
      </c>
    </row>
    <row r="11" spans="1:2" x14ac:dyDescent="0.25">
      <c r="A11" t="s">
        <v>9</v>
      </c>
      <c r="B11" s="6">
        <v>0.17469509856562093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9.983120203908241</v>
      </c>
    </row>
    <row r="14" spans="1:3" x14ac:dyDescent="0.25">
      <c r="A14" t="s">
        <v>12</v>
      </c>
      <c r="B14" s="6">
        <v>0.0705627376309689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0.59666</v>
      </c>
      <c r="C19" s="8" t="s">
        <v>19</v>
      </c>
    </row>
    <row r="20" spans="1:2" x14ac:dyDescent="0.25">
      <c r="A20" t="s">
        <v>20</v>
      </c>
      <c r="B20" s="10">
        <f>B17+B19*B18</f>
        <v>0.08927959999999999</v>
      </c>
    </row>
    <row r="21" spans="1:3" x14ac:dyDescent="0.25">
      <c r="A21" t="s">
        <v>21</v>
      </c>
      <c r="B21" s="6">
        <v>0.05757776307081403</v>
      </c>
      <c r="C21" s="8" t="s">
        <v>22</v>
      </c>
    </row>
    <row r="22" spans="1:2" x14ac:dyDescent="0.25">
      <c r="A22" t="s">
        <v>23</v>
      </c>
      <c r="B22" s="11">
        <v>1703226496</v>
      </c>
    </row>
    <row r="23" spans="1:2" x14ac:dyDescent="0.25">
      <c r="A23" t="s">
        <v>24</v>
      </c>
      <c r="B23" s="11">
        <v>1159900000</v>
      </c>
    </row>
    <row r="24" spans="1:2" x14ac:dyDescent="0.25">
      <c r="A24" t="s">
        <v>25</v>
      </c>
      <c r="B24" s="10">
        <f>B22/(B22+B23)</f>
        <v>0.5948834249480537</v>
      </c>
    </row>
    <row r="25" spans="1:2" x14ac:dyDescent="0.25">
      <c r="A25" t="s">
        <v>26</v>
      </c>
      <c r="B25" s="10">
        <f>1-B24</f>
        <v>0.4051165750519463</v>
      </c>
    </row>
    <row r="26" spans="1:2" x14ac:dyDescent="0.25">
      <c r="A26" t="s">
        <v>27</v>
      </c>
      <c r="B26" s="12">
        <f>B24*B20+B25*B21*(1-B8)</f>
        <v>0.0705627376309689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2225900000</v>
      </c>
      <c r="C29" s="8" t="s">
        <v>30</v>
      </c>
    </row>
    <row r="30" spans="1:2" x14ac:dyDescent="0.25">
      <c r="A30" t="s">
        <v>31</v>
      </c>
      <c r="B30" s="11">
        <v>646800000</v>
      </c>
    </row>
    <row r="31" spans="1:2" x14ac:dyDescent="0.25">
      <c r="A31" t="s">
        <v>32</v>
      </c>
      <c r="B31" s="13">
        <v>1244600000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-0.1965252047864421</v>
      </c>
      <c r="C5" s="10">
        <f>Assumptions!B6</f>
        <v>-0.1965252047864421</v>
      </c>
      <c r="D5" s="10">
        <f>Assumptions!B6</f>
        <v>-0.1965252047864421</v>
      </c>
      <c r="E5" s="10">
        <f>Assumptions!B6</f>
        <v>-0.1965252047864421</v>
      </c>
      <c r="F5" s="10">
        <f>Assumptions!B6</f>
        <v>-0.1965252047864421</v>
      </c>
    </row>
    <row r="6" spans="1:6" x14ac:dyDescent="0.25">
      <c r="A6" t="s">
        <v>43</v>
      </c>
      <c r="B6" s="18">
        <f>Assumptions!B29*(1+B5)</f>
        <v>1788454546.6658585</v>
      </c>
      <c r="C6" s="18">
        <f>B6*(1+C5)</f>
        <v>1436978150.6311073</v>
      </c>
      <c r="D6" s="18">
        <f>C6*(1+D5)</f>
        <v>1154575725.304686</v>
      </c>
      <c r="E6" s="18">
        <f>D6*(1+E5)</f>
        <v>927672494.4477277</v>
      </c>
      <c r="F6" s="18">
        <f>E6*(1+F5)</f>
        <v>745361467.5016384</v>
      </c>
    </row>
    <row r="7" spans="1:6" x14ac:dyDescent="0.25">
      <c r="A7" t="s">
        <v>5</v>
      </c>
      <c r="B7" s="10">
        <f>Assumptions!B7</f>
        <v>0.03492481094763092</v>
      </c>
      <c r="C7" s="10">
        <f>Assumptions!B7</f>
        <v>0.03492481094763092</v>
      </c>
      <c r="D7" s="10">
        <f>Assumptions!B7</f>
        <v>0.03492481094763092</v>
      </c>
      <c r="E7" s="10">
        <f>Assumptions!B7</f>
        <v>0.03492481094763092</v>
      </c>
      <c r="F7" s="10">
        <f>Assumptions!B7</f>
        <v>0.03492481094763092</v>
      </c>
    </row>
    <row r="8" spans="1:6" x14ac:dyDescent="0.25">
      <c r="A8" t="s">
        <v>44</v>
      </c>
      <c r="B8" s="18">
        <f>B6*B7</f>
        <v>62461436.930736065</v>
      </c>
      <c r="C8" s="18">
        <f>C6*C7</f>
        <v>50186190.24666773</v>
      </c>
      <c r="D8" s="18">
        <f>D6*D7</f>
        <v>40323338.93099001</v>
      </c>
      <c r="E8" s="18">
        <f>E6*E7</f>
        <v>32398786.489904083</v>
      </c>
      <c r="F8" s="18">
        <f>F6*F7</f>
        <v>26031608.34014347</v>
      </c>
    </row>
    <row r="9" spans="1:6" x14ac:dyDescent="0.25">
      <c r="A9" t="s">
        <v>45</v>
      </c>
      <c r="B9" s="18">
        <f>B8*(1-Assumptions!B8)</f>
        <v>46732281.55789483</v>
      </c>
      <c r="C9" s="18">
        <f>C8*(1-Assumptions!B8)</f>
        <v>37548210.35459188</v>
      </c>
      <c r="D9" s="18">
        <f>D8*(1-Assumptions!B8)</f>
        <v>30169040.62529131</v>
      </c>
      <c r="E9" s="18">
        <f>E8*(1-Assumptions!B8)</f>
        <v>24240063.73819544</v>
      </c>
      <c r="F9" s="18">
        <f>F8*(1-Assumptions!B8)</f>
        <v>19476280.248010173</v>
      </c>
    </row>
    <row r="10" spans="1:6" x14ac:dyDescent="0.25">
      <c r="A10" t="s">
        <v>46</v>
      </c>
      <c r="B10" s="18">
        <f>B6*Assumptions!B9</f>
        <v>100711364.09956647</v>
      </c>
      <c r="C10" s="18">
        <f>C6*Assumptions!B9</f>
        <v>80919042.64557725</v>
      </c>
      <c r="D10" s="18">
        <f>D6*Assumptions!B9</f>
        <v>65016411.21853234</v>
      </c>
      <c r="E10" s="18">
        <f>E6*Assumptions!B9</f>
        <v>52239047.689330734</v>
      </c>
      <c r="F10" s="18">
        <f>F6*Assumptions!B9</f>
        <v>41972758.1443363</v>
      </c>
    </row>
    <row r="11" spans="1:6" x14ac:dyDescent="0.25">
      <c r="A11" t="s">
        <v>47</v>
      </c>
      <c r="B11" s="18">
        <f>-B6*Assumptions!B10</f>
        <v>-140644766.1699981</v>
      </c>
      <c r="C11" s="18">
        <f>-C6*Assumptions!B10</f>
        <v>-113004524.69629797</v>
      </c>
      <c r="D11" s="18">
        <f>-D6*Assumptions!B10</f>
        <v>-90796287.33856346</v>
      </c>
      <c r="E11" s="18">
        <f>-E6*Assumptions!B10</f>
        <v>-72952528.37550363</v>
      </c>
      <c r="F11" s="18">
        <f>-F6*Assumptions!B10</f>
        <v>-58615517.796819046</v>
      </c>
    </row>
    <row r="12" spans="1:6" x14ac:dyDescent="0.25">
      <c r="A12" t="s">
        <v>48</v>
      </c>
      <c r="B12" s="18">
        <f>-(B6-Assumptions!B29)*Assumptions!B11</f>
        <v>76419576.58729059</v>
      </c>
      <c r="C12" s="18">
        <f>-(C6-B6)*Assumptions!B11</f>
        <v>61401203.64878008</v>
      </c>
      <c r="D12" s="18">
        <f>-(D6-C6)*Assumptions!B11</f>
        <v>49334319.52756957</v>
      </c>
      <c r="E12" s="18">
        <f>-(E6-D6)*Assumptions!B11</f>
        <v>39638882.279414184</v>
      </c>
      <c r="F12" s="18">
        <f>-(F6-E6)*Assumptions!B11</f>
        <v>31848842.82194664</v>
      </c>
    </row>
    <row r="13" spans="1:6" x14ac:dyDescent="0.25">
      <c r="A13" s="19" t="s">
        <v>49</v>
      </c>
      <c r="B13" s="20">
        <f>B9+B10+B11+B12</f>
        <v>83218456.07475379</v>
      </c>
      <c r="C13" s="20">
        <f>C9+C10+C11+C12</f>
        <v>66863931.95265123</v>
      </c>
      <c r="D13" s="20">
        <f>D9+D10+D11+D12</f>
        <v>53723484.032829754</v>
      </c>
      <c r="E13" s="20">
        <f>E9+E10+E11+E12</f>
        <v>43165465.33143673</v>
      </c>
      <c r="F13" s="20">
        <f>F9+F10+F11+F12</f>
        <v>34682363.41747406</v>
      </c>
    </row>
    <row r="14" spans="1:6" x14ac:dyDescent="0.25">
      <c r="A14" t="s">
        <v>50</v>
      </c>
      <c r="B14" s="21">
        <f>1/(1+Assumptions!$B$26)^(1-0.5*Assumptions!$B$32)</f>
        <v>0.9664823747879383</v>
      </c>
      <c r="C14" s="21">
        <f>1/(1+Assumptions!$B$26)^(2-0.5*Assumptions!$B$32)</f>
        <v>0.9027797632174753</v>
      </c>
      <c r="D14" s="21">
        <f>1/(1+Assumptions!$B$26)^(3-0.5*Assumptions!$B$32)</f>
        <v>0.8432759066649583</v>
      </c>
      <c r="E14" s="21">
        <f>1/(1+Assumptions!$B$26)^(4-0.5*Assumptions!$B$32)</f>
        <v>0.7876940575486776</v>
      </c>
      <c r="F14" s="21">
        <f>1/(1+Assumptions!$B$26)^(5-0.5*Assumptions!$B$32)</f>
        <v>0.7357757092234997</v>
      </c>
    </row>
    <row r="15" spans="1:6" x14ac:dyDescent="0.25">
      <c r="A15" s="19" t="s">
        <v>51</v>
      </c>
      <c r="B15" s="20">
        <f>B13*B14</f>
        <v>80429171.05331378</v>
      </c>
      <c r="C15" s="20">
        <f>C13*C14</f>
        <v>60363404.65600386</v>
      </c>
      <c r="D15" s="20">
        <f>D13*D14</f>
        <v>45303719.70698492</v>
      </c>
      <c r="E15" s="20">
        <f>E13*E14</f>
        <v>34001180.532896176</v>
      </c>
      <c r="F15" s="20">
        <f>F13*F14</f>
        <v>25518440.541039135</v>
      </c>
    </row>
    <row r="17" spans="1:2" x14ac:dyDescent="0.25">
      <c r="A17" s="22" t="s">
        <v>52</v>
      </c>
      <c r="B17" s="23">
        <f>SUM(B15:F15)</f>
        <v>245615916.49023786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34682363.41747406</v>
      </c>
    </row>
    <row r="5" spans="1:2" x14ac:dyDescent="0.25">
      <c r="A5" t="s">
        <v>56</v>
      </c>
      <c r="B5" s="18">
        <f>IF(Assumptions!$B$33=0,B4,B4-Forecast!F11-Forecast!F10-Forecast!F12)</f>
        <v>19476280.248010173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0.35429464387770415</v>
      </c>
    </row>
    <row r="7" spans="1:2" x14ac:dyDescent="0.25">
      <c r="A7" t="s">
        <v>58</v>
      </c>
      <c r="B7" s="18">
        <f>-MAX(Forecast!F9,0)*B6</f>
        <v>-6900341.774531128</v>
      </c>
    </row>
    <row r="8" spans="1:2" x14ac:dyDescent="0.25">
      <c r="A8" t="s">
        <v>59</v>
      </c>
      <c r="B8" s="18">
        <f>IF(OR(Assumptions!$B$33=0,Assumptions!B12&lt;=0),B5,MAX(B5+B7,0))</f>
        <v>12575938.473479046</v>
      </c>
    </row>
    <row r="9" spans="1:2" x14ac:dyDescent="0.25">
      <c r="A9" t="s">
        <v>60</v>
      </c>
      <c r="B9" s="18">
        <f>B8*(1+Assumptions!B12)/(Assumptions!B26-Assumptions!B12)</f>
        <v>282914012.7557762</v>
      </c>
    </row>
    <row r="10" spans="1:2" x14ac:dyDescent="0.25">
      <c r="A10" t="s">
        <v>61</v>
      </c>
      <c r="B10" s="18">
        <f>B9/(1+Assumptions!B26)^(5-0.5*Assumptions!B32)</f>
        <v>208161258.3846475</v>
      </c>
    </row>
    <row r="11" spans="1:2" x14ac:dyDescent="0.25">
      <c r="A11" t="s">
        <v>62</v>
      </c>
      <c r="B11" s="18">
        <f>Forecast!B17+B10</f>
        <v>453777174.8748853</v>
      </c>
    </row>
    <row r="12" spans="1:2" x14ac:dyDescent="0.25">
      <c r="A12" t="s">
        <v>63</v>
      </c>
      <c r="B12" s="18">
        <f>-Assumptions!B30</f>
        <v>-646800000</v>
      </c>
    </row>
    <row r="13" spans="1:2" x14ac:dyDescent="0.25">
      <c r="A13" t="s">
        <v>64</v>
      </c>
      <c r="B13" s="18">
        <f>B11+B12</f>
        <v>-193022825.12511468</v>
      </c>
    </row>
    <row r="14" spans="1:2" x14ac:dyDescent="0.25">
      <c r="A14" s="19" t="s">
        <v>65</v>
      </c>
      <c r="B14" s="24">
        <f>B13/Assumptions!B31</f>
        <v>-0.15508824130251864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68004366.48447977</v>
      </c>
    </row>
    <row r="18" spans="1:2" x14ac:dyDescent="0.25">
      <c r="A18" t="s">
        <v>60</v>
      </c>
      <c r="B18" s="18">
        <f>B17*Assumptions!B13</f>
        <v>678895765.0051904</v>
      </c>
    </row>
    <row r="19" spans="1:2" x14ac:dyDescent="0.25">
      <c r="A19" t="s">
        <v>61</v>
      </c>
      <c r="B19" s="18">
        <f>B18/(1+Assumptions!B26)^(5-0.5*Assumptions!B32)</f>
        <v>499515012.9855243</v>
      </c>
    </row>
    <row r="20" spans="1:2" x14ac:dyDescent="0.25">
      <c r="A20" t="s">
        <v>62</v>
      </c>
      <c r="B20" s="18">
        <f>Forecast!B17+B19</f>
        <v>745130929.4757621</v>
      </c>
    </row>
    <row r="21" spans="1:2" x14ac:dyDescent="0.25">
      <c r="A21" t="s">
        <v>63</v>
      </c>
      <c r="B21" s="18">
        <f>-Assumptions!B30</f>
        <v>-646800000</v>
      </c>
    </row>
    <row r="22" spans="1:2" x14ac:dyDescent="0.25">
      <c r="A22" t="s">
        <v>64</v>
      </c>
      <c r="B22" s="18">
        <f>B20+B21</f>
        <v>98330929.47576213</v>
      </c>
    </row>
    <row r="23" spans="1:2" x14ac:dyDescent="0.25">
      <c r="A23" s="19" t="s">
        <v>65</v>
      </c>
      <c r="B23" s="25">
        <f>B22/Assumptions!B31</f>
        <v>0.07900604971538014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1.39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-0.15508824130251864</v>
      </c>
    </row>
    <row r="29" spans="1:2" x14ac:dyDescent="0.25">
      <c r="A29" s="19" t="s">
        <v>73</v>
      </c>
      <c r="B29" s="12">
        <f>B28/B26-1</f>
        <v>-1.1115742743183588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0.050563</v>
      </c>
      <c r="B5" s="31">
        <v>-0.06329930056624401</v>
      </c>
      <c r="C5" s="31">
        <v>-0.06205989359760771</v>
      </c>
      <c r="D5" s="31">
        <v>-0.06082048662897151</v>
      </c>
      <c r="E5" s="31">
        <v>-0.05958107966033521</v>
      </c>
      <c r="F5" s="31">
        <v>-0.05834167269169892</v>
      </c>
    </row>
    <row r="6" spans="1:6" x14ac:dyDescent="0.25">
      <c r="A6" s="30">
        <v>0.060563</v>
      </c>
      <c r="B6" s="31">
        <v>-0.11739823248125121</v>
      </c>
      <c r="C6" s="31">
        <v>-0.11640665941891219</v>
      </c>
      <c r="D6" s="31">
        <v>-0.11541508635657317</v>
      </c>
      <c r="E6" s="31">
        <v>-0.11442351329423407</v>
      </c>
      <c r="F6" s="31">
        <v>-0.11343194023189515</v>
      </c>
    </row>
    <row r="7" spans="1:6" x14ac:dyDescent="0.25">
      <c r="A7" s="30">
        <v>0.070563</v>
      </c>
      <c r="B7" s="31">
        <v>-0.15672085613722617</v>
      </c>
      <c r="C7" s="31">
        <v>-0.15590499893233833</v>
      </c>
      <c r="D7" s="32">
        <v>-0.1550891417274505</v>
      </c>
      <c r="E7" s="31">
        <v>-0.15427328452256267</v>
      </c>
      <c r="F7" s="31">
        <v>-0.15345742731767492</v>
      </c>
    </row>
    <row r="8" spans="1:6" x14ac:dyDescent="0.25">
      <c r="A8" s="30">
        <v>0.080563</v>
      </c>
      <c r="B8" s="31">
        <v>-0.18674511054322285</v>
      </c>
      <c r="C8" s="31">
        <v>-0.18605980353049256</v>
      </c>
      <c r="D8" s="31">
        <v>-0.18537449651776236</v>
      </c>
      <c r="E8" s="31">
        <v>-0.1846891895050321</v>
      </c>
      <c r="F8" s="31">
        <v>-0.18400388249230187</v>
      </c>
    </row>
    <row r="9" spans="1:6" x14ac:dyDescent="0.25">
      <c r="A9" s="30">
        <v>0.090563</v>
      </c>
      <c r="B9" s="31">
        <v>-0.21053077027627595</v>
      </c>
      <c r="C9" s="31">
        <v>-0.20994588995936742</v>
      </c>
      <c r="D9" s="31">
        <v>-0.20936100964245902</v>
      </c>
      <c r="E9" s="31">
        <v>-0.20877612932555045</v>
      </c>
      <c r="F9" s="31">
        <v>-0.208191249008642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2225900000</v>
      </c>
      <c r="C5" s="18">
        <v>2090200000</v>
      </c>
      <c r="D5" s="18">
        <v>4697600000</v>
      </c>
      <c r="E5" s="18">
        <v>4291300000</v>
      </c>
      <c r="F5" s="8" t="s">
        <v>84</v>
      </c>
    </row>
    <row r="6" spans="1:6" x14ac:dyDescent="0.25">
      <c r="A6" t="s">
        <v>44</v>
      </c>
      <c r="B6" s="18">
        <v>63300000</v>
      </c>
      <c r="C6" s="18">
        <v>87200000</v>
      </c>
      <c r="D6" s="18">
        <v>146500000</v>
      </c>
      <c r="E6" s="18">
        <v>164600000</v>
      </c>
      <c r="F6" s="8" t="s">
        <v>85</v>
      </c>
    </row>
    <row r="7" spans="1:6" x14ac:dyDescent="0.25">
      <c r="A7" t="s">
        <v>86</v>
      </c>
      <c r="B7" s="18">
        <v>172100000</v>
      </c>
      <c r="C7" s="18">
        <v>156700000</v>
      </c>
      <c r="D7" s="18">
        <v>208100000</v>
      </c>
      <c r="E7" s="18">
        <v>123000000</v>
      </c>
      <c r="F7" s="8" t="s">
        <v>87</v>
      </c>
    </row>
    <row r="8" spans="1:6" x14ac:dyDescent="0.25">
      <c r="A8" t="s">
        <v>88</v>
      </c>
      <c r="B8" s="18">
        <v>194300000</v>
      </c>
      <c r="C8" s="18">
        <v>266600000</v>
      </c>
      <c r="D8" s="18">
        <v>260800000</v>
      </c>
      <c r="E8" s="18">
        <v>189700000</v>
      </c>
      <c r="F8" s="8" t="s">
        <v>89</v>
      </c>
    </row>
    <row r="9" spans="1:6" x14ac:dyDescent="0.25">
      <c r="A9" t="s">
        <v>90</v>
      </c>
      <c r="B9" s="18">
        <v>-20900000</v>
      </c>
      <c r="C9" s="18">
        <v>-455500000</v>
      </c>
      <c r="D9" s="18">
        <v>238600000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1159900000</v>
      </c>
      <c r="C10" s="18">
        <v>653300000</v>
      </c>
      <c r="D10" s="18">
        <v>2417900000</v>
      </c>
      <c r="E10" s="18">
        <v>1060000000</v>
      </c>
      <c r="F10" s="8" t="s">
        <v>93</v>
      </c>
    </row>
    <row r="11" spans="1:6" x14ac:dyDescent="0.25">
      <c r="A11" t="s">
        <v>94</v>
      </c>
      <c r="B11" s="18">
        <v>513100000</v>
      </c>
      <c r="C11" s="18">
        <v>257400000</v>
      </c>
      <c r="D11" s="18">
        <v>274700000</v>
      </c>
      <c r="E11" s="18">
        <v>58400000</v>
      </c>
      <c r="F11" s="8" t="s">
        <v>95</v>
      </c>
    </row>
    <row r="12" spans="1:6" x14ac:dyDescent="0.25">
      <c r="A12" t="s">
        <v>32</v>
      </c>
      <c r="B12" s="34">
        <v>1244600000</v>
      </c>
      <c r="C12" s="34">
        <v>1334842250</v>
      </c>
      <c r="D12" s="34">
        <v>1259863946</v>
      </c>
      <c r="E12" s="34">
        <v>911421278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2026-09-19T01:04:23Z</dcterms:modified>
</cp:coreProperties>
</file>