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<sst xmlns="http://schemas.openxmlformats.org/spreadsheetml/2006/main" count="113" uniqueCount="101">
  <si>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Orange S.A. (ORA.PA)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</si>
  <si>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</si>
  <si>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</si>
  <si>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</si>
  <si>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</si>
  <si>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</si>
  <si>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</si>
  <si>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</si>
  <si>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</si>
  <si>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</si>
  <si>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</si>
  <si>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</si>
  <si>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</si>
  <si>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</si>
  <si>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</si>
  <si>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</si>
  <si>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</si>
  <si>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</si>
  <si>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</si>
  <si>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</si>
  <si>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</si>
  <si>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</si>
  <si>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18.0% is not a credible funding cost, so risk-free + 2bp is assumed instead. Interest expense and reported debt are measuring different things - common for banks, whose interest expense includes deposits that total debt excludes.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</si>
  <si>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</si>
  <si>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</si>
  <si>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</si>
  <si>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</si>
  <si>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</si>
  <si>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</si>
  <si>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</si>
  <si>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</si>
  <si>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</si>
  <si>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</si>
  <si>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</si>
  <si>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</si>
  <si>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</si>
  <si>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</si>
  <si>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</si>
  <si>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</si>
  <si>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</si>
  <si>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</si>
  <si>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</si>
  <si>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</si>
  <si>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</si>
  <si>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</si>
  <si>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</si>
  <si>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</si>
  <si>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</si>
  <si>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</si>
  <si>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</si>
  <si>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</si>
  <si>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</si>
  <si>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</si>
  <si>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</si>
  <si>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</si>
  <si>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</si>
  <si>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</si>
  <si>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</si>
  <si>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</si>
  <si>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</si>
  <si>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</si>
  <si>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</si>
  <si>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</si>
  <si>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</si>
  <si>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</si>
  <si>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</si>
  <si>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</si>
  <si>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</si>
  <si>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</si>
  <si>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</si>
  <si>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</si>
  <si>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</si>
  <si>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</si>
  <si>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</si>
  <si>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</si>
  <si>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</si>
  <si>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</si>
  <si>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</si>
  <si>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</si>
  <si>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</si>
  <si>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</si>
  <si>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</si>
  <si>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</si>
  <si>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</si>
  <si>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</si>
  <si>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</si>
  <si>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</si>
  <si>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</si>
  <si>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</si>
  <si>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</si>
  <si>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</si>
  <si>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</si>
  <si>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</si>
  <si>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</si>
  <si>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</si>
  <si>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</si>
  <si>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</si>
  <si>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</si>
  <si>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EUR assumption - no free live source available for this market.</t>
  </si>
  <si>
    <t>Current EV/EBITDA of 2.6x sits outside a defensible 3-20x band, so the exit multiple is capped at 3.0x. A multiple that far out usually means EBITDA is the wrong denominator for this business.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</si>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</sst>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0.010695863298145536</v>
      </c>
    </row>
    <row r="7" spans="1:2" x14ac:dyDescent="0.25">
      <c r="A7" t="s">
        <v>5</v>
      </c>
      <c r="B7" s="6">
        <v>0.13123458044388364</v>
      </c>
    </row>
    <row r="8" spans="1:2" x14ac:dyDescent="0.25">
      <c r="A8" t="s">
        <v>6</v>
      </c>
      <c r="B8" s="6">
        <v>0.258</v>
      </c>
    </row>
    <row r="9" spans="1:2" x14ac:dyDescent="0.25">
      <c r="A9" t="s">
        <v>7</v>
      </c>
      <c r="B9" s="6">
        <v>0.21168981328591185</v>
      </c>
    </row>
    <row r="10" spans="1:2" x14ac:dyDescent="0.25">
      <c r="A10" t="s">
        <v>8</v>
      </c>
      <c r="B10" s="6">
        <v>0.19609890049373369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</v>
      </c>
    </row>
    <row r="14" spans="1:3" x14ac:dyDescent="0.25">
      <c r="A14" t="s">
        <v>12</v>
      </c>
      <c r="B14" s="6">
        <v>0.125110558659008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0.49146999999999996</v>
      </c>
      <c r="C19" s="8" t="s">
        <v>19</v>
      </c>
    </row>
    <row r="20" spans="1:2" x14ac:dyDescent="0.25">
      <c r="A20" t="s">
        <v>20</v>
      </c>
      <c r="B20" s="10">
        <f>B17+B19*B18</f>
        <v>0.06148819999999999</v>
      </c>
    </row>
    <row r="21" spans="1:3" x14ac:dyDescent="0.25">
      <c r="A21" t="s">
        <v>21</v>
      </c>
      <c r="B21" s="6">
        <v>0.052000000000000005</v>
      </c>
      <c r="C21" s="8" t="s">
        <v>22</v>
      </c>
    </row>
    <row r="22" spans="1:2" x14ac:dyDescent="0.25">
      <c r="A22" t="s">
        <v>23</v>
      </c>
      <c r="B22" s="11">
        <v>39946346496</v>
      </c>
    </row>
    <row r="23" spans="1:2" x14ac:dyDescent="0.25">
      <c r="A23" t="s">
        <v>24</v>
      </c>
      <c r="B23" s="11">
        <v>7522000000</v>
      </c>
    </row>
    <row r="24" spans="1:2" x14ac:dyDescent="0.25">
      <c r="A24" t="s">
        <v>25</v>
      </c>
      <c r="B24" s="10">
        <f>B22/(B22+B23)</f>
        <v>0.8415365068460126</v>
      </c>
    </row>
    <row r="25" spans="1:2" x14ac:dyDescent="0.25">
      <c r="A25" t="s">
        <v>26</v>
      </c>
      <c r="B25" s="10">
        <f>1-B24</f>
        <v>0.15846349315398744</v>
      </c>
    </row>
    <row r="26" spans="1:2" x14ac:dyDescent="0.25">
      <c r="A26" t="s">
        <v>27</v>
      </c>
      <c r="B26" s="12">
        <f>B24*B20+B25*B21*(1-B8)</f>
        <v>0.05785872046010244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40397000000</v>
      </c>
      <c r="C29" s="8" t="s">
        <v>30</v>
      </c>
    </row>
    <row r="30" spans="1:2" x14ac:dyDescent="0.25">
      <c r="A30" t="s">
        <v>31</v>
      </c>
      <c r="B30" s="11">
        <v>-7740000000</v>
      </c>
    </row>
    <row r="31" spans="1:2" x14ac:dyDescent="0.25">
      <c r="A31" t="s">
        <v>32</v>
      </c>
      <c r="B31" s="13">
        <v>2660272101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0.010695863298145536</v>
      </c>
      <c r="C5" s="10">
        <f>Assumptions!B6</f>
        <v>0.010695863298145536</v>
      </c>
      <c r="D5" s="10">
        <f>Assumptions!B6</f>
        <v>0.010695863298145536</v>
      </c>
      <c r="E5" s="10">
        <f>Assumptions!B6</f>
        <v>0.010695863298145536</v>
      </c>
      <c r="F5" s="10">
        <f>Assumptions!B6</f>
        <v>0.010695863298145536</v>
      </c>
    </row>
    <row r="6" spans="1:6" x14ac:dyDescent="0.25">
      <c r="A6" t="s">
        <v>43</v>
      </c>
      <c r="B6" s="18">
        <f>Assumptions!B29*(1+B5)</f>
        <v>40829080789.65518</v>
      </c>
      <c r="C6" s="18">
        <f>B6*(1+C5)</f>
        <v>41265783056.37028</v>
      </c>
      <c r="D6" s="18">
        <f>C6*(1+D5)</f>
        <v>41707156230.832146</v>
      </c>
      <c r="E6" s="18">
        <f>D6*(1+E5)</f>
        <v>42153250272.431526</v>
      </c>
      <c r="F6" s="18">
        <f>E6*(1+F5)</f>
        <v>42604115674.91797</v>
      </c>
    </row>
    <row r="7" spans="1:6" x14ac:dyDescent="0.25">
      <c r="A7" t="s">
        <v>5</v>
      </c>
      <c r="B7" s="10">
        <f>Assumptions!B7</f>
        <v>0.13123458044388364</v>
      </c>
      <c r="C7" s="10">
        <f>Assumptions!B7</f>
        <v>0.13123458044388364</v>
      </c>
      <c r="D7" s="10">
        <f>Assumptions!B7</f>
        <v>0.13123458044388364</v>
      </c>
      <c r="E7" s="10">
        <f>Assumptions!B7</f>
        <v>0.13123458044388364</v>
      </c>
      <c r="F7" s="10">
        <f>Assumptions!B7</f>
        <v>0.13123458044388364</v>
      </c>
    </row>
    <row r="8" spans="1:6" x14ac:dyDescent="0.25">
      <c r="A8" t="s">
        <v>44</v>
      </c>
      <c r="B8" s="18">
        <f>B6*B7</f>
        <v>5358187287.339828</v>
      </c>
      <c r="C8" s="18">
        <f>C6*C7</f>
        <v>5415497726.091076</v>
      </c>
      <c r="D8" s="18">
        <f>D6*D7</f>
        <v>5473421149.460764</v>
      </c>
      <c r="E8" s="18">
        <f>E6*E7</f>
        <v>5531964113.848576</v>
      </c>
      <c r="F8" s="18">
        <f>F6*F7</f>
        <v>5591133245.780546</v>
      </c>
    </row>
    <row r="9" spans="1:6" x14ac:dyDescent="0.25">
      <c r="A9" t="s">
        <v>45</v>
      </c>
      <c r="B9" s="18">
        <f>B8*(1-Assumptions!B8)</f>
        <v>3975774967.206152</v>
      </c>
      <c r="C9" s="18">
        <f>C8*(1-Assumptions!B8)</f>
        <v>4018299312.759578</v>
      </c>
      <c r="D9" s="18">
        <f>D8*(1-Assumptions!B8)</f>
        <v>4061278492.8998866</v>
      </c>
      <c r="E9" s="18">
        <f>E8*(1-Assumptions!B8)</f>
        <v>4104717372.475643</v>
      </c>
      <c r="F9" s="18">
        <f>F8*(1-Assumptions!B8)</f>
        <v>4148620868.3691654</v>
      </c>
    </row>
    <row r="10" spans="1:6" x14ac:dyDescent="0.25">
      <c r="A10" t="s">
        <v>46</v>
      </c>
      <c r="B10" s="18">
        <f>B6*Assumptions!B9</f>
        <v>8643100488.997517</v>
      </c>
      <c r="C10" s="18">
        <f>C6*Assumptions!B9</f>
        <v>8735545910.299969</v>
      </c>
      <c r="D10" s="18">
        <f>D6*Assumptions!B9</f>
        <v>8828980115.191212</v>
      </c>
      <c r="E10" s="18">
        <f>E6*Assumptions!B9</f>
        <v>8923413679.565342</v>
      </c>
      <c r="F10" s="18">
        <f>F6*Assumptions!B9</f>
        <v>9018857292.434774</v>
      </c>
    </row>
    <row r="11" spans="1:6" x14ac:dyDescent="0.25">
      <c r="A11" t="s">
        <v>47</v>
      </c>
      <c r="B11" s="18">
        <f>-B6*Assumptions!B10</f>
        <v>-8006537851.021205</v>
      </c>
      <c r="C11" s="18">
        <f>-C6*Assumptions!B10</f>
        <v>-8092174685.367157</v>
      </c>
      <c r="D11" s="18">
        <f>-D6*Assumptions!B10</f>
        <v>-8178727479.586557</v>
      </c>
      <c r="E11" s="18">
        <f>-E6*Assumptions!B10</f>
        <v>-8266206030.661002</v>
      </c>
      <c r="F11" s="18">
        <f>-F6*Assumptions!B10</f>
        <v>-8354620240.359259</v>
      </c>
    </row>
    <row r="12" spans="1:6" x14ac:dyDescent="0.25">
      <c r="A12" t="s">
        <v>48</v>
      </c>
      <c r="B12" s="18">
        <f>-(B6-Assumptions!B29)*Assumptions!B11</f>
        <v>-432080789.6551819</v>
      </c>
      <c r="C12" s="18">
        <f>-(C6-B6)*Assumptions!B11</f>
        <v>-436702266.7150955</v>
      </c>
      <c r="D12" s="18">
        <f>-(D6-C6)*Assumptions!B11</f>
        <v>-441373174.4618683</v>
      </c>
      <c r="E12" s="18">
        <f>-(E6-D6)*Assumptions!B11</f>
        <v>-446094041.5993805</v>
      </c>
      <c r="F12" s="18">
        <f>-(F6-E6)*Assumptions!B11</f>
        <v>-450865402.48644257</v>
      </c>
    </row>
    <row r="13" spans="1:6" x14ac:dyDescent="0.25">
      <c r="A13" s="19" t="s">
        <v>49</v>
      </c>
      <c r="B13" s="20">
        <f>B9+B10+B11+B12</f>
        <v>4180256815.5272818</v>
      </c>
      <c r="C13" s="20">
        <f>C9+C10+C11+C12</f>
        <v>4224968270.977295</v>
      </c>
      <c r="D13" s="20">
        <f>D9+D10+D11+D12</f>
        <v>4270157954.042673</v>
      </c>
      <c r="E13" s="20">
        <f>E9+E10+E11+E12</f>
        <v>4315830979.780602</v>
      </c>
      <c r="F13" s="20">
        <f>F9+F10+F11+F12</f>
        <v>4361992517.958239</v>
      </c>
    </row>
    <row r="14" spans="1:6" x14ac:dyDescent="0.25">
      <c r="A14" t="s">
        <v>50</v>
      </c>
      <c r="B14" s="21">
        <f>1/(1+Assumptions!$B$26)^(1-0.5*Assumptions!$B$32)</f>
        <v>0.9722683863497276</v>
      </c>
      <c r="C14" s="21">
        <f>1/(1+Assumptions!$B$26)^(2-0.5*Assumptions!$B$32)</f>
        <v>0.9190909594495299</v>
      </c>
      <c r="D14" s="21">
        <f>1/(1+Assumptions!$B$26)^(3-0.5*Assumptions!$B$32)</f>
        <v>0.8688220285689782</v>
      </c>
      <c r="E14" s="21">
        <f>1/(1+Assumptions!$B$26)^(4-0.5*Assumptions!$B$32)</f>
        <v>0.821302515888979</v>
      </c>
      <c r="F14" s="21">
        <f>1/(1+Assumptions!$B$26)^(5-0.5*Assumptions!$B$32)</f>
        <v>0.7763820442220901</v>
      </c>
    </row>
    <row r="15" spans="1:6" x14ac:dyDescent="0.25">
      <c r="A15" s="19" t="s">
        <v>51</v>
      </c>
      <c r="B15" s="20">
        <f>B13*B14</f>
        <v>4064331548.560161</v>
      </c>
      <c r="C15" s="20">
        <f>C13*C14</f>
        <v>3883130141.8163433</v>
      </c>
      <c r="D15" s="20">
        <f>D13*D14</f>
        <v>3710007295.941313</v>
      </c>
      <c r="E15" s="20">
        <f>E13*E14</f>
        <v>3544602841.845406</v>
      </c>
      <c r="F15" s="20">
        <f>F13*F14</f>
        <v>3386572667.9738793</v>
      </c>
    </row>
    <row r="17" spans="1:2" x14ac:dyDescent="0.25">
      <c r="A17" s="22" t="s">
        <v>52</v>
      </c>
      <c r="B17" s="23">
        <f>SUM(B15:F15)</f>
        <v>18588644496.137104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4361992517.958239</v>
      </c>
    </row>
    <row r="5" spans="1:2" x14ac:dyDescent="0.25">
      <c r="A5" t="s">
        <v>56</v>
      </c>
      <c r="B5" s="18">
        <f>IF(Assumptions!$B$33=0,B4,B4-Forecast!F11-Forecast!F10-Forecast!F12)</f>
        <v>4148620868.3691654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0.19982326246450657</v>
      </c>
    </row>
    <row r="7" spans="1:2" x14ac:dyDescent="0.25">
      <c r="A7" t="s">
        <v>58</v>
      </c>
      <c r="B7" s="18">
        <f>-MAX(Forecast!F9,0)*B6</f>
        <v>-828990956.6458609</v>
      </c>
    </row>
    <row r="8" spans="1:2" x14ac:dyDescent="0.25">
      <c r="A8" t="s">
        <v>59</v>
      </c>
      <c r="B8" s="18">
        <f>IF(OR(Assumptions!$B$33=0,Assumptions!B12&lt;=0),B5,MAX(B5+B7,0))</f>
        <v>3319629911.7233047</v>
      </c>
    </row>
    <row r="9" spans="1:2" x14ac:dyDescent="0.25">
      <c r="A9" t="s">
        <v>60</v>
      </c>
      <c r="B9" s="18">
        <f>B8*(1+Assumptions!B12)/(Assumptions!B26-Assumptions!B12)</f>
        <v>103553048075.86472</v>
      </c>
    </row>
    <row r="10" spans="1:2" x14ac:dyDescent="0.25">
      <c r="A10" t="s">
        <v>61</v>
      </c>
      <c r="B10" s="18">
        <f>B9/(1+Assumptions!B26)^(5-0.5*Assumptions!B32)</f>
        <v>80396727150.56822</v>
      </c>
    </row>
    <row r="11" spans="1:2" x14ac:dyDescent="0.25">
      <c r="A11" t="s">
        <v>62</v>
      </c>
      <c r="B11" s="18">
        <f>Forecast!B17+B10</f>
        <v>98985371646.70532</v>
      </c>
    </row>
    <row r="12" spans="1:2" x14ac:dyDescent="0.25">
      <c r="A12" t="s">
        <v>63</v>
      </c>
      <c r="B12" s="18">
        <f>-Assumptions!B30</f>
        <v>7740000000</v>
      </c>
    </row>
    <row r="13" spans="1:2" x14ac:dyDescent="0.25">
      <c r="A13" t="s">
        <v>64</v>
      </c>
      <c r="B13" s="18">
        <f>B11+B12</f>
        <v>106725371646.70532</v>
      </c>
    </row>
    <row r="14" spans="1:2" x14ac:dyDescent="0.25">
      <c r="A14" s="19" t="s">
        <v>65</v>
      </c>
      <c r="B14" s="24">
        <f>B13/Assumptions!B31</f>
        <v>40.118216330798305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14609990538.21532</v>
      </c>
    </row>
    <row r="18" spans="1:2" x14ac:dyDescent="0.25">
      <c r="A18" t="s">
        <v>60</v>
      </c>
      <c r="B18" s="18">
        <f>B17*Assumptions!B13</f>
        <v>43829971614.645966</v>
      </c>
    </row>
    <row r="19" spans="1:2" x14ac:dyDescent="0.25">
      <c r="A19" t="s">
        <v>61</v>
      </c>
      <c r="B19" s="18">
        <f>B18/(1+Assumptions!B26)^(5-0.5*Assumptions!B32)</f>
        <v>34028802960.37502</v>
      </c>
    </row>
    <row r="20" spans="1:2" x14ac:dyDescent="0.25">
      <c r="A20" t="s">
        <v>62</v>
      </c>
      <c r="B20" s="18">
        <f>Forecast!B17+B19</f>
        <v>52617447456.51212</v>
      </c>
    </row>
    <row r="21" spans="1:2" x14ac:dyDescent="0.25">
      <c r="A21" t="s">
        <v>63</v>
      </c>
      <c r="B21" s="18">
        <f>-Assumptions!B30</f>
        <v>7740000000</v>
      </c>
    </row>
    <row r="22" spans="1:2" x14ac:dyDescent="0.25">
      <c r="A22" t="s">
        <v>64</v>
      </c>
      <c r="B22" s="18">
        <f>B20+B21</f>
        <v>60357447456.51212</v>
      </c>
    </row>
    <row r="23" spans="1:2" x14ac:dyDescent="0.25">
      <c r="A23" s="19" t="s">
        <v>65</v>
      </c>
      <c r="B23" s="25">
        <f>B22/Assumptions!B31</f>
        <v>22.6884488371786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15.03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40.118216330798305</v>
      </c>
    </row>
    <row r="29" spans="1:2" x14ac:dyDescent="0.25">
      <c r="A29" s="19" t="s">
        <v>73</v>
      </c>
      <c r="B29" s="12">
        <f>B28/B26-1</f>
        <v>1.6692093367131275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0.037859</v>
      </c>
      <c r="B5" s="31">
        <v>61.786741156986764</v>
      </c>
      <c r="C5" s="31">
        <v>73.53522427855772</v>
      </c>
      <c r="D5" s="31">
        <v>94.3790930105206</v>
      </c>
      <c r="E5" s="31">
        <v>141.67816210740895</v>
      </c>
      <c r="F5" s="31">
        <v>354.2320137566603</v>
      </c>
    </row>
    <row r="6" spans="1:6" x14ac:dyDescent="0.25">
      <c r="A6" s="30">
        <v>0.047859</v>
      </c>
      <c r="B6" s="31">
        <v>44.41208143729748</v>
      </c>
      <c r="C6" s="31">
        <v>48.928195027136816</v>
      </c>
      <c r="D6" s="31">
        <v>55.397855860467374</v>
      </c>
      <c r="E6" s="31">
        <v>65.46187297768164</v>
      </c>
      <c r="F6" s="31">
        <v>83.31305641519421</v>
      </c>
    </row>
    <row r="7" spans="1:6" x14ac:dyDescent="0.25">
      <c r="A7" s="30">
        <v>0.057859</v>
      </c>
      <c r="B7" s="31">
        <v>35.13245535132474</v>
      </c>
      <c r="C7" s="31">
        <v>37.30236494992895</v>
      </c>
      <c r="D7" s="32">
        <v>40.11791884653204</v>
      </c>
      <c r="E7" s="31">
        <v>43.926748487703655</v>
      </c>
      <c r="F7" s="31">
        <v>49.380638123346564</v>
      </c>
    </row>
    <row r="8" spans="1:6" x14ac:dyDescent="0.25">
      <c r="A8" s="30">
        <v>0.067859</v>
      </c>
      <c r="B8" s="31">
        <v>29.3541304612818</v>
      </c>
      <c r="C8" s="31">
        <v>30.521393292935127</v>
      </c>
      <c r="D8" s="31">
        <v>31.95018386046958</v>
      </c>
      <c r="E8" s="31">
        <v>33.74412127791928</v>
      </c>
      <c r="F8" s="31">
        <v>36.069893598746845</v>
      </c>
    </row>
    <row r="9" spans="1:6" x14ac:dyDescent="0.25">
      <c r="A9" s="30">
        <v>0.077859</v>
      </c>
      <c r="B9" s="31">
        <v>25.40653910985637</v>
      </c>
      <c r="C9" s="31">
        <v>26.07383803173016</v>
      </c>
      <c r="D9" s="31">
        <v>26.858964192411285</v>
      </c>
      <c r="E9" s="31">
        <v>27.798847084411324</v>
      </c>
      <c r="F9" s="31">
        <v>28.94764921664982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40397000000</v>
      </c>
      <c r="C5" s="18">
        <v>40259000000</v>
      </c>
      <c r="D5" s="18">
        <v>39677000000</v>
      </c>
      <c r="E5" s="18">
        <v>39128000000</v>
      </c>
      <c r="F5" s="8" t="s">
        <v>84</v>
      </c>
    </row>
    <row r="6" spans="1:6" x14ac:dyDescent="0.25">
      <c r="A6" t="s">
        <v>44</v>
      </c>
      <c r="B6" s="18">
        <v>4160000000</v>
      </c>
      <c r="C6" s="18">
        <v>6026000000</v>
      </c>
      <c r="D6" s="18">
        <v>5149000000</v>
      </c>
      <c r="E6" s="18">
        <v>5576000000</v>
      </c>
      <c r="F6" s="8" t="s">
        <v>85</v>
      </c>
    </row>
    <row r="7" spans="1:6" x14ac:dyDescent="0.25">
      <c r="A7" t="s">
        <v>86</v>
      </c>
      <c r="B7" s="18">
        <v>8433000000</v>
      </c>
      <c r="C7" s="18">
        <v>7933000000</v>
      </c>
      <c r="D7" s="18">
        <v>8834000000</v>
      </c>
      <c r="E7" s="18">
        <v>8542000000</v>
      </c>
      <c r="F7" s="8" t="s">
        <v>87</v>
      </c>
    </row>
    <row r="8" spans="1:6" x14ac:dyDescent="0.25">
      <c r="A8" t="s">
        <v>88</v>
      </c>
      <c r="B8" s="18">
        <v>7467000000</v>
      </c>
      <c r="C8" s="18">
        <v>7028000000</v>
      </c>
      <c r="D8" s="18">
        <v>7962000000</v>
      </c>
      <c r="E8" s="18">
        <v>8777000000</v>
      </c>
      <c r="F8" s="8" t="s">
        <v>89</v>
      </c>
    </row>
    <row r="9" spans="1:6" x14ac:dyDescent="0.25">
      <c r="A9" t="s">
        <v>90</v>
      </c>
      <c r="B9" s="18">
        <v>526000000</v>
      </c>
      <c r="C9" s="18">
        <v>1312000000</v>
      </c>
      <c r="D9" s="18">
        <v>9000000</v>
      </c>
      <c r="E9" s="18">
        <v>792000000</v>
      </c>
      <c r="F9" s="8" t="s">
        <v>91</v>
      </c>
    </row>
    <row r="10" spans="1:6" x14ac:dyDescent="0.25">
      <c r="A10" t="s">
        <v>92</v>
      </c>
      <c r="B10" s="18">
        <v>7522000000</v>
      </c>
      <c r="C10" s="18">
        <v>7366000000</v>
      </c>
      <c r="D10" s="18">
        <v>8568000000</v>
      </c>
      <c r="E10" s="18">
        <v>8410000000</v>
      </c>
      <c r="F10" s="8" t="s">
        <v>93</v>
      </c>
    </row>
    <row r="11" spans="1:6" x14ac:dyDescent="0.25">
      <c r="A11" t="s">
        <v>94</v>
      </c>
      <c r="B11" s="18">
        <v>15262000000</v>
      </c>
      <c r="C11" s="18">
        <v>12121000000</v>
      </c>
      <c r="D11" s="18">
        <v>11515000000</v>
      </c>
      <c r="E11" s="18">
        <v>13287000000</v>
      </c>
      <c r="F11" s="8" t="s">
        <v>95</v>
      </c>
    </row>
    <row r="12" spans="1:6" x14ac:dyDescent="0.25">
      <c r="A12" t="s">
        <v>32</v>
      </c>
      <c r="B12" s="34">
        <v>2660272101</v>
      </c>
      <c r="C12" s="34">
        <v>2659826500</v>
      </c>
      <c r="D12" s="34">
        <v>2660521198</v>
      </c>
      <c r="E12" s="34">
        <v>2686831119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2026-09-19T00:07:21Z</dcterms:modified>
</cp:coreProperties>
</file>