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<sst xmlns="http://schemas.openxmlformats.org/spreadsheetml/2006/main" count="112" uniqueCount="100">
  <si>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Oracle Corporation (ORCL)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</si>
  <si>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</si>
  <si>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</si>
  <si>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</si>
  <si>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</si>
  <si>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</si>
  <si>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</si>
  <si>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</si>
  <si>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</si>
  <si>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</si>
  <si>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</si>
  <si>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</si>
  <si>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</si>
  <si>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</si>
  <si>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</si>
  <si>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</si>
  <si>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</si>
  <si>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</si>
  <si>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</si>
  <si>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</si>
  <si>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</si>
  <si>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</si>
  <si>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</si>
  <si>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</si>
  <si>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</si>
  <si>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</si>
  <si>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</si>
  <si>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</si>
  <si>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</si>
  <si>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</si>
  <si>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</si>
  <si>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</si>
  <si>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</si>
  <si>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</si>
  <si>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</si>
  <si>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</si>
  <si>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</si>
  <si>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</si>
  <si>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</si>
  <si>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</si>
  <si>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</si>
  <si>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</si>
  <si>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</si>
  <si>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</si>
  <si>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</si>
  <si>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</si>
  <si>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</si>
  <si>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</si>
  <si>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</si>
  <si>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</si>
  <si>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</si>
  <si>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</si>
  <si>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</si>
  <si>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</si>
  <si>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</si>
  <si>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</si>
  <si>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</si>
  <si>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</si>
  <si>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</si>
  <si>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</si>
  <si>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</si>
  <si>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</si>
  <si>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</si>
  <si>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</si>
  <si>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</si>
  <si>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</si>
  <si>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</si>
  <si>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</si>
  <si>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</si>
  <si>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</si>
  <si>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</si>
  <si>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</si>
  <si>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</si>
  <si>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</si>
  <si>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</si>
  <si>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</si>
  <si>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</si>
  <si>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</si>
  <si>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</si>
  <si>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</si>
  <si>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</si>
  <si>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</si>
  <si>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</si>
  <si>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</si>
  <si>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</si>
  <si>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</si>
  <si>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</si>
  <si>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</si>
  <si>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</si>
  <si>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</si>
  <si>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</si>
  <si>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</si>
  <si>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</si>
  <si>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</si>
  <si>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</si>
  <si>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</si>
  <si>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</si>
  <si>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</si>
  <si>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37.5% of revenue against depreciation of 12.1%.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</si>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</sst>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0.10476732816565715</v>
      </c>
    </row>
    <row r="7" spans="1:2" x14ac:dyDescent="0.25">
      <c r="A7" t="s">
        <v>5</v>
      </c>
      <c r="B7" s="6">
        <v>0.30671830797500743</v>
      </c>
    </row>
    <row r="8" spans="1:2" x14ac:dyDescent="0.25">
      <c r="A8" t="s">
        <v>6</v>
      </c>
      <c r="B8" s="6">
        <v>0.11488285353320274</v>
      </c>
    </row>
    <row r="9" spans="1:2" x14ac:dyDescent="0.25">
      <c r="A9" t="s">
        <v>7</v>
      </c>
      <c r="B9" s="6">
        <v>0.12093300745601035</v>
      </c>
    </row>
    <row r="10" spans="1:2" x14ac:dyDescent="0.25">
      <c r="A10" t="s">
        <v>8</v>
      </c>
      <c r="B10" s="6">
        <v>0.37492404988898564</v>
      </c>
    </row>
    <row r="11" spans="1:2" x14ac:dyDescent="0.25">
      <c r="A11" t="s">
        <v>9</v>
      </c>
      <c r="B11" s="6">
        <v>0.16228799467908214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17.97935224853488</v>
      </c>
    </row>
    <row r="14" spans="1:3" x14ac:dyDescent="0.25">
      <c r="A14" t="s">
        <v>12</v>
      </c>
      <c r="B14" s="6">
        <v>0.13726448234014627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1.49044</v>
      </c>
      <c r="C19" s="8" t="s">
        <v>19</v>
      </c>
    </row>
    <row r="20" spans="1:2" x14ac:dyDescent="0.25">
      <c r="A20" t="s">
        <v>20</v>
      </c>
      <c r="B20" s="10">
        <f>B17+B19*B18</f>
        <v>0.1319542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446333681664</v>
      </c>
    </row>
    <row r="23" spans="1:2" x14ac:dyDescent="0.25">
      <c r="A23" t="s">
        <v>24</v>
      </c>
      <c r="B23" s="11">
        <v>156189000000</v>
      </c>
    </row>
    <row r="24" spans="1:2" x14ac:dyDescent="0.25">
      <c r="A24" t="s">
        <v>25</v>
      </c>
      <c r="B24" s="10">
        <f>B22/(B22+B23)</f>
        <v>0.7407749039942373</v>
      </c>
    </row>
    <row r="25" spans="1:2" x14ac:dyDescent="0.25">
      <c r="A25" t="s">
        <v>26</v>
      </c>
      <c r="B25" s="10">
        <f>1-B24</f>
        <v>0.2592250960057627</v>
      </c>
    </row>
    <row r="26" spans="1:2" x14ac:dyDescent="0.25">
      <c r="A26" t="s">
        <v>27</v>
      </c>
      <c r="B26" s="12">
        <f>B24*B20+B25*B21*(1-B8)</f>
        <v>0.10921599980855111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67357000000</v>
      </c>
      <c r="C29" s="8" t="s">
        <v>30</v>
      </c>
    </row>
    <row r="30" spans="1:2" x14ac:dyDescent="0.25">
      <c r="A30" t="s">
        <v>31</v>
      </c>
      <c r="B30" s="11">
        <v>124295000000</v>
      </c>
    </row>
    <row r="31" spans="1:2" x14ac:dyDescent="0.25">
      <c r="A31" t="s">
        <v>32</v>
      </c>
      <c r="B31" s="13">
        <v>2914000000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0.10476732816565715</v>
      </c>
      <c r="C5" s="10">
        <f>Assumptions!B6</f>
        <v>0.10476732816565715</v>
      </c>
      <c r="D5" s="10">
        <f>Assumptions!B6</f>
        <v>0.10476732816565715</v>
      </c>
      <c r="E5" s="10">
        <f>Assumptions!B6</f>
        <v>0.10476732816565715</v>
      </c>
      <c r="F5" s="10">
        <f>Assumptions!B6</f>
        <v>0.10476732816565715</v>
      </c>
    </row>
    <row r="6" spans="1:6" x14ac:dyDescent="0.25">
      <c r="A6" t="s">
        <v>43</v>
      </c>
      <c r="B6" s="18">
        <f>Assumptions!B29*(1+B5)</f>
        <v>74413812923.25417</v>
      </c>
      <c r="C6" s="18">
        <f>B6*(1+C5)</f>
        <v>82209949281.84256</v>
      </c>
      <c r="D6" s="18">
        <f>C6*(1+D5)</f>
        <v>90822866016.73538</v>
      </c>
      <c r="E6" s="18">
        <f>D6*(1+E5)</f>
        <v>100338135025.6562</v>
      </c>
      <c r="F6" s="18">
        <f>E6*(1+F5)</f>
        <v>110850293345.41914</v>
      </c>
    </row>
    <row r="7" spans="1:6" x14ac:dyDescent="0.25">
      <c r="A7" t="s">
        <v>5</v>
      </c>
      <c r="B7" s="10">
        <f>Assumptions!B7</f>
        <v>0.30671830797500743</v>
      </c>
      <c r="C7" s="10">
        <f>Assumptions!B7</f>
        <v>0.30671830797500743</v>
      </c>
      <c r="D7" s="10">
        <f>Assumptions!B7</f>
        <v>0.30671830797500743</v>
      </c>
      <c r="E7" s="10">
        <f>Assumptions!B7</f>
        <v>0.30671830797500743</v>
      </c>
      <c r="F7" s="10">
        <f>Assumptions!B7</f>
        <v>0.30671830797500743</v>
      </c>
    </row>
    <row r="8" spans="1:6" x14ac:dyDescent="0.25">
      <c r="A8" t="s">
        <v>44</v>
      </c>
      <c r="B8" s="18">
        <f>B6*B7</f>
        <v>22824078789.78926</v>
      </c>
      <c r="C8" s="18">
        <f>C6*C7</f>
        <v>25215296542.437927</v>
      </c>
      <c r="D8" s="18">
        <f>D6*D7</f>
        <v>27857035790.09388</v>
      </c>
      <c r="E8" s="18">
        <f>E6*E7</f>
        <v>30775543000.4371</v>
      </c>
      <c r="F8" s="18">
        <f>F6*F7</f>
        <v>33999814413.440186</v>
      </c>
    </row>
    <row r="9" spans="1:6" x14ac:dyDescent="0.25">
      <c r="A9" t="s">
        <v>45</v>
      </c>
      <c r="B9" s="18">
        <f>B8*(1-Assumptions!B8)</f>
        <v>20201983489.151623</v>
      </c>
      <c r="C9" s="18">
        <f>C8*(1-Assumptions!B8)</f>
        <v>22318491322.956757</v>
      </c>
      <c r="D9" s="18">
        <f>D8*(1-Assumptions!B8)</f>
        <v>24656740027.55134</v>
      </c>
      <c r="E9" s="18">
        <f>E8*(1-Assumptions!B8)</f>
        <v>27239960801.513103</v>
      </c>
      <c r="F9" s="18">
        <f>F8*(1-Assumptions!B8)</f>
        <v>30093818714.02486</v>
      </c>
    </row>
    <row r="10" spans="1:6" x14ac:dyDescent="0.25">
      <c r="A10" t="s">
        <v>46</v>
      </c>
      <c r="B10" s="18">
        <f>B6*Assumptions!B9</f>
        <v>8999086193.078054</v>
      </c>
      <c r="C10" s="18">
        <f>C6*Assumptions!B9</f>
        <v>9941896409.4593</v>
      </c>
      <c r="D10" s="18">
        <f>D6*Assumptions!B9</f>
        <v>10983482333.17809</v>
      </c>
      <c r="E10" s="18">
        <f>E6*Assumptions!B9</f>
        <v>12134192431.179855</v>
      </c>
      <c r="F10" s="18">
        <f>F6*Assumptions!B9</f>
        <v>13405459351.642508</v>
      </c>
    </row>
    <row r="11" spans="1:6" x14ac:dyDescent="0.25">
      <c r="A11" t="s">
        <v>47</v>
      </c>
      <c r="B11" s="18">
        <f>-B6*Assumptions!B10</f>
        <v>-27899528108.86779</v>
      </c>
      <c r="C11" s="18">
        <f>-C6*Assumptions!B10</f>
        <v>-30822487125.91652</v>
      </c>
      <c r="D11" s="18">
        <f>-D6*Assumptions!B10</f>
        <v>-34051676749.519154</v>
      </c>
      <c r="E11" s="18">
        <f>-E6*Assumptions!B10</f>
        <v>-37619179942.12691</v>
      </c>
      <c r="F11" s="18">
        <f>-F6*Assumptions!B10</f>
        <v>-41560440912.44662</v>
      </c>
    </row>
    <row r="12" spans="1:6" x14ac:dyDescent="0.25">
      <c r="A12" t="s">
        <v>48</v>
      </c>
      <c r="B12" s="18">
        <f>-(B6-Assumptions!B29)*Assumptions!B11</f>
        <v>-1145236018.14035</v>
      </c>
      <c r="C12" s="18">
        <f>-(C6-B6)*Assumptions!B11</f>
        <v>-1265219335.8799922</v>
      </c>
      <c r="D12" s="18">
        <f>-(D6-C6)*Assumptions!B11</f>
        <v>-1397772985.2436638</v>
      </c>
      <c r="E12" s="18">
        <f>-(E6-D6)*Assumptions!B11</f>
        <v>-1544213926.2897775</v>
      </c>
      <c r="F12" s="18">
        <f>-(F6-E6)*Assumptions!B11</f>
        <v>-1705997093.463357</v>
      </c>
    </row>
    <row r="13" spans="1:6" x14ac:dyDescent="0.25">
      <c r="A13" s="19" t="s">
        <v>49</v>
      </c>
      <c r="B13" s="20">
        <f>B9+B10+B11+B12</f>
        <v>156305555.22153497</v>
      </c>
      <c r="C13" s="20">
        <f>C9+C10+C11+C12</f>
        <v>172681270.61954236</v>
      </c>
      <c r="D13" s="20">
        <f>D9+D10+D11+D12</f>
        <v>190772625.96661377</v>
      </c>
      <c r="E13" s="20">
        <f>E9+E10+E11+E12</f>
        <v>210759364.27627778</v>
      </c>
      <c r="F13" s="20">
        <f>F9+F10+F11+F12</f>
        <v>232840059.75739193</v>
      </c>
    </row>
    <row r="14" spans="1:6" x14ac:dyDescent="0.25">
      <c r="A14" t="s">
        <v>50</v>
      </c>
      <c r="B14" s="21">
        <f>1/(1+Assumptions!$B$26)^(1-0.5*Assumptions!$B$32)</f>
        <v>0.9494933716424766</v>
      </c>
      <c r="C14" s="21">
        <f>1/(1+Assumptions!$B$26)^(2-0.5*Assumptions!$B$32)</f>
        <v>0.8560040351080022</v>
      </c>
      <c r="D14" s="21">
        <f>1/(1+Assumptions!$B$26)^(3-0.5*Assumptions!$B$32)</f>
        <v>0.7717198771526439</v>
      </c>
      <c r="E14" s="21">
        <f>1/(1+Assumptions!$B$26)^(4-0.5*Assumptions!$B$32)</f>
        <v>0.6957345343790943</v>
      </c>
      <c r="F14" s="21">
        <f>1/(1+Assumptions!$B$26)^(5-0.5*Assumptions!$B$32)</f>
        <v>0.6272308860485035</v>
      </c>
    </row>
    <row r="15" spans="1:6" x14ac:dyDescent="0.25">
      <c r="A15" s="19" t="s">
        <v>51</v>
      </c>
      <c r="B15" s="20">
        <f>B13*B14</f>
        <v>148411088.63374454</v>
      </c>
      <c r="C15" s="20">
        <f>C13*C14</f>
        <v>147815864.43790516</v>
      </c>
      <c r="D15" s="20">
        <f>D13*D14</f>
        <v>147223027.47504246</v>
      </c>
      <c r="E15" s="20">
        <f>E13*E14</f>
        <v>146632568.17079005</v>
      </c>
      <c r="F15" s="20">
        <f>F13*F14</f>
        <v>146044476.98921543</v>
      </c>
    </row>
    <row r="17" spans="1:2" x14ac:dyDescent="0.25">
      <c r="A17" s="22" t="s">
        <v>52</v>
      </c>
      <c r="B17" s="23">
        <f>SUM(B15:F15)</f>
        <v>736127025.7066977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232840059.75739193</v>
      </c>
    </row>
    <row r="5" spans="1:2" x14ac:dyDescent="0.25">
      <c r="A5" t="s">
        <v>56</v>
      </c>
      <c r="B5" s="18">
        <f>IF(Assumptions!$B$33=0,B4,B4-Forecast!F11-Forecast!F10-Forecast!F12)</f>
        <v>34841153969.20737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0.18213014447575093</v>
      </c>
    </row>
    <row r="7" spans="1:2" x14ac:dyDescent="0.25">
      <c r="A7" t="s">
        <v>58</v>
      </c>
      <c r="B7" s="18">
        <f>-MAX(Forecast!F9,0)*B6</f>
        <v>-6345624406.113621</v>
      </c>
    </row>
    <row r="8" spans="1:2" x14ac:dyDescent="0.25">
      <c r="A8" t="s">
        <v>59</v>
      </c>
      <c r="B8" s="18">
        <f>IF(OR(Assumptions!$B$33=0,Assumptions!B12&lt;=0),B5,MAX(B5+B7,0))</f>
        <v>28495529563.093746</v>
      </c>
    </row>
    <row r="9" spans="1:2" x14ac:dyDescent="0.25">
      <c r="A9" t="s">
        <v>60</v>
      </c>
      <c r="B9" s="18">
        <f>B8*(1+Assumptions!B12)/(Assumptions!B26-Assumptions!B12)</f>
        <v>346821481292.9809</v>
      </c>
    </row>
    <row r="10" spans="1:2" x14ac:dyDescent="0.25">
      <c r="A10" t="s">
        <v>61</v>
      </c>
      <c r="B10" s="18">
        <f>B9/(1+Assumptions!B26)^(5-0.5*Assumptions!B32)</f>
        <v>217537145012.0509</v>
      </c>
    </row>
    <row r="11" spans="1:2" x14ac:dyDescent="0.25">
      <c r="A11" t="s">
        <v>62</v>
      </c>
      <c r="B11" s="18">
        <f>Forecast!B17+B10</f>
        <v>218273272037.7576</v>
      </c>
    </row>
    <row r="12" spans="1:2" x14ac:dyDescent="0.25">
      <c r="A12" t="s">
        <v>63</v>
      </c>
      <c r="B12" s="18">
        <f>-Assumptions!B30</f>
        <v>-124295000000</v>
      </c>
    </row>
    <row r="13" spans="1:2" x14ac:dyDescent="0.25">
      <c r="A13" t="s">
        <v>64</v>
      </c>
      <c r="B13" s="18">
        <f>B11+B12</f>
        <v>93978272037.7576</v>
      </c>
    </row>
    <row r="14" spans="1:2" x14ac:dyDescent="0.25">
      <c r="A14" s="19" t="s">
        <v>65</v>
      </c>
      <c r="B14" s="24">
        <f>B13/Assumptions!B31</f>
        <v>32.25060811179053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47405273765.082695</v>
      </c>
    </row>
    <row r="18" spans="1:2" x14ac:dyDescent="0.25">
      <c r="A18" t="s">
        <v>60</v>
      </c>
      <c r="B18" s="18">
        <f>B17*Assumptions!B13</f>
        <v>852316115460.6511</v>
      </c>
    </row>
    <row r="19" spans="1:2" x14ac:dyDescent="0.25">
      <c r="A19" t="s">
        <v>61</v>
      </c>
      <c r="B19" s="18">
        <f>B18/(1+Assumptions!B26)^(5-0.5*Assumptions!B32)</f>
        <v>534598992293.80286</v>
      </c>
    </row>
    <row r="20" spans="1:2" x14ac:dyDescent="0.25">
      <c r="A20" t="s">
        <v>62</v>
      </c>
      <c r="B20" s="18">
        <f>Forecast!B17+B19</f>
        <v>535335119319.5096</v>
      </c>
    </row>
    <row r="21" spans="1:2" x14ac:dyDescent="0.25">
      <c r="A21" t="s">
        <v>63</v>
      </c>
      <c r="B21" s="18">
        <f>-Assumptions!B30</f>
        <v>-124295000000</v>
      </c>
    </row>
    <row r="22" spans="1:2" x14ac:dyDescent="0.25">
      <c r="A22" t="s">
        <v>64</v>
      </c>
      <c r="B22" s="18">
        <f>B20+B21</f>
        <v>411040119319.5096</v>
      </c>
    </row>
    <row r="23" spans="1:2" x14ac:dyDescent="0.25">
      <c r="A23" s="19" t="s">
        <v>65</v>
      </c>
      <c r="B23" s="25">
        <f>B22/Assumptions!B31</f>
        <v>141.05700731623529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147.61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32.25060811179053</v>
      </c>
    </row>
    <row r="29" spans="1:2" x14ac:dyDescent="0.25">
      <c r="A29" s="19" t="s">
        <v>73</v>
      </c>
      <c r="B29" s="12">
        <f>B28/B26-1</f>
        <v>-0.7815147475659473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0.089216</v>
      </c>
      <c r="B5" s="31">
        <v>56.76178687719431</v>
      </c>
      <c r="C5" s="31">
        <v>60.07885857980305</v>
      </c>
      <c r="D5" s="31">
        <v>63.86630952822847</v>
      </c>
      <c r="E5" s="31">
        <v>68.24329144982885</v>
      </c>
      <c r="F5" s="31">
        <v>73.3729105235482</v>
      </c>
    </row>
    <row r="6" spans="1:6" x14ac:dyDescent="0.25">
      <c r="A6" s="30">
        <v>0.099216</v>
      </c>
      <c r="B6" s="31">
        <v>41.46166208744666</v>
      </c>
      <c r="C6" s="31">
        <v>43.53003279199326</v>
      </c>
      <c r="D6" s="31">
        <v>45.83876031274121</v>
      </c>
      <c r="E6" s="31">
        <v>48.439933072064306</v>
      </c>
      <c r="F6" s="31">
        <v>51.401862372108866</v>
      </c>
    </row>
    <row r="7" spans="1:6" x14ac:dyDescent="0.25">
      <c r="A7" s="30">
        <v>0.109216</v>
      </c>
      <c r="B7" s="31">
        <v>29.561965257258628</v>
      </c>
      <c r="C7" s="31">
        <v>30.846255550462168</v>
      </c>
      <c r="D7" s="32">
        <v>32.25060788399198</v>
      </c>
      <c r="E7" s="31">
        <v>33.79775668782301</v>
      </c>
      <c r="F7" s="31">
        <v>35.51656294953906</v>
      </c>
    </row>
    <row r="8" spans="1:6" x14ac:dyDescent="0.25">
      <c r="A8" s="30">
        <v>0.119216</v>
      </c>
      <c r="B8" s="31">
        <v>20.075953222085424</v>
      </c>
      <c r="C8" s="31">
        <v>20.850871263909983</v>
      </c>
      <c r="D8" s="31">
        <v>21.680191452592492</v>
      </c>
      <c r="E8" s="31">
        <v>22.573060490550358</v>
      </c>
      <c r="F8" s="31">
        <v>23.54079728083204</v>
      </c>
    </row>
    <row r="9" spans="1:6" x14ac:dyDescent="0.25">
      <c r="A9" s="30">
        <v>0.129216</v>
      </c>
      <c r="B9" s="31">
        <v>12.362924053613687</v>
      </c>
      <c r="C9" s="31">
        <v>12.798644487157127</v>
      </c>
      <c r="D9" s="31">
        <v>13.251987181023383</v>
      </c>
      <c r="E9" s="31">
        <v>13.725616361797336</v>
      </c>
      <c r="F9" s="31">
        <v>14.222761813205873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67357000000</v>
      </c>
      <c r="C5" s="18">
        <v>57399000000</v>
      </c>
      <c r="D5" s="18">
        <v>52961000000</v>
      </c>
      <c r="E5" s="18">
        <v>49954000000</v>
      </c>
      <c r="F5" s="8" t="s">
        <v>84</v>
      </c>
    </row>
    <row r="6" spans="1:6" x14ac:dyDescent="0.25">
      <c r="A6" t="s">
        <v>44</v>
      </c>
      <c r="B6" s="18">
        <v>22444000000</v>
      </c>
      <c r="C6" s="18">
        <v>18052000000</v>
      </c>
      <c r="D6" s="18">
        <v>16071000000</v>
      </c>
      <c r="E6" s="18">
        <v>13773000000</v>
      </c>
      <c r="F6" s="8" t="s">
        <v>85</v>
      </c>
    </row>
    <row r="7" spans="1:6" x14ac:dyDescent="0.25">
      <c r="A7" t="s">
        <v>86</v>
      </c>
      <c r="B7" s="18">
        <v>9294000000</v>
      </c>
      <c r="C7" s="18">
        <v>6174000000</v>
      </c>
      <c r="D7" s="18">
        <v>6139000000</v>
      </c>
      <c r="E7" s="18">
        <v>6108000000</v>
      </c>
      <c r="F7" s="8" t="s">
        <v>87</v>
      </c>
    </row>
    <row r="8" spans="1:6" x14ac:dyDescent="0.25">
      <c r="A8" t="s">
        <v>88</v>
      </c>
      <c r="B8" s="18">
        <v>55663000000</v>
      </c>
      <c r="C8" s="18">
        <v>21215000000</v>
      </c>
      <c r="D8" s="18">
        <v>6866000000</v>
      </c>
      <c r="E8" s="18">
        <v>8695000000</v>
      </c>
      <c r="F8" s="8" t="s">
        <v>89</v>
      </c>
    </row>
    <row r="9" spans="1:6" x14ac:dyDescent="0.25">
      <c r="A9" t="s">
        <v>90</v>
      </c>
      <c r="B9" s="18">
        <v>-4135000000</v>
      </c>
      <c r="C9" s="18">
        <v>1500000000</v>
      </c>
      <c r="D9" s="18">
        <v>488000000</v>
      </c>
      <c r="E9" s="18">
        <v>-513000000</v>
      </c>
      <c r="F9" s="8" t="s">
        <v>91</v>
      </c>
    </row>
    <row r="10" spans="1:6" x14ac:dyDescent="0.25">
      <c r="A10" t="s">
        <v>92</v>
      </c>
      <c r="B10" s="18">
        <v>156189000000</v>
      </c>
      <c r="C10" s="18">
        <v>104104000000</v>
      </c>
      <c r="D10" s="18">
        <v>93124000000</v>
      </c>
      <c r="E10" s="18">
        <v>90481000000</v>
      </c>
      <c r="F10" s="8" t="s">
        <v>93</v>
      </c>
    </row>
    <row r="11" spans="1:6" x14ac:dyDescent="0.25">
      <c r="A11" t="s">
        <v>94</v>
      </c>
      <c r="B11" s="18">
        <v>31894000000</v>
      </c>
      <c r="C11" s="18">
        <v>11203000000</v>
      </c>
      <c r="D11" s="18">
        <v>10661000000</v>
      </c>
      <c r="E11" s="18">
        <v>10187000000</v>
      </c>
      <c r="F11" s="8" t="s">
        <v>95</v>
      </c>
    </row>
    <row r="12" spans="1:6" x14ac:dyDescent="0.25">
      <c r="A12" t="s">
        <v>32</v>
      </c>
      <c r="B12" s="34">
        <v>2914000000</v>
      </c>
      <c r="C12" s="34">
        <v>2866000000</v>
      </c>
      <c r="D12" s="34">
        <v>2823000000</v>
      </c>
      <c r="E12" s="34">
        <v>2766000000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