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<sst xmlns="http://schemas.openxmlformats.org/spreadsheetml/2006/main" count="121" uniqueCount="108">
  <si>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Oracle Corporation (ORCL)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</si>
  <si>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</si>
  <si>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</si>
  <si>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</si>
  <si>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</si>
  <si>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</si>
  <si>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</si>
  <si>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</si>
  <si>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</si>
  <si>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</si>
  <si>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</si>
  <si>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</si>
  <si>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</si>
  <si>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</si>
  <si>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</si>
  <si>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</si>
  <si>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</si>
  <si>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</si>
  <si>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</si>
  <si>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</si>
  <si>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</si>
  <si>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</si>
  <si>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</si>
  <si>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</si>
  <si>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4.9x interest cover. Book interest / average debt was lower, at 3.5%.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</si>
  <si>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</si>
  <si>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</si>
  <si>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</si>
  <si>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</si>
  <si>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</si>
  <si>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</si>
  <si>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</si>
  <si>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</si>
  <si>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</si>
  <si>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</si>
  <si>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</si>
  <si>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</si>
  <si>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</si>
  <si>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</si>
  <si>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</si>
  <si>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</si>
  <si>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</si>
  <si>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</si>
  <si>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</si>
  <si>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</si>
  <si>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</si>
  <si>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</si>
  <si>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</si>
  <si>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</si>
  <si>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</si>
  <si>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</si>
  <si>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</si>
  <si>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</si>
  <si>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</si>
  <si>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</si>
  <si>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</si>
  <si>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</si>
  <si>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</si>
  <si>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</si>
  <si>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</si>
  <si>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</si>
  <si>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</si>
  <si>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</si>
  <si>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</si>
  <si>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</si>
  <si>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</si>
  <si>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</si>
  <si>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</si>
  <si>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</si>
  <si>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</si>
  <si>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</si>
  <si>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</si>
  <si>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</si>
  <si>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</si>
  <si>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</si>
  <si>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</si>
  <si>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</si>
  <si>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</si>
  <si>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</si>
  <si>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</si>
  <si>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</si>
  <si>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</si>
  <si>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</si>
  <si>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</si>
  <si>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</si>
  <si>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</si>
  <si>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</si>
  <si>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</si>
  <si>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</si>
  <si>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</si>
  <si>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</si>
  <si>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</si>
  <si>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</si>
  <si>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</si>
  <si>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</si>
  <si>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</si>
  <si>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</si>
  <si>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</si>
  <si>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</si>
  <si>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</si>
  <si>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</si>
  <si>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</si>
  <si>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</si>
  <si>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</si>
  <si>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</si>
  <si>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</si>
  <si>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37.5% of revenue against depreciation of 12.1%.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</si>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</sst>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0.3422288627759549</v>
      </c>
    </row>
    <row r="7" spans="1:2" x14ac:dyDescent="0.25">
      <c r="A7" t="s">
        <v>4</v>
      </c>
      <c r="B7" s="5">
        <v>0.30671830797500743</v>
      </c>
    </row>
    <row r="8" spans="1:2" x14ac:dyDescent="0.25">
      <c r="A8" t="s">
        <v>5</v>
      </c>
      <c r="B8" s="5">
        <v>0.11488285353320274</v>
      </c>
    </row>
    <row r="9" spans="1:2" x14ac:dyDescent="0.25">
      <c r="A9" t="s">
        <v>6</v>
      </c>
      <c r="B9" s="5">
        <v>0.12093300745601035</v>
      </c>
    </row>
    <row r="10" spans="1:3" x14ac:dyDescent="0.25">
      <c r="A10" t="s">
        <v>7</v>
      </c>
      <c r="B10" s="5">
        <v>0.37492404988898564</v>
      </c>
      <c r="C10" s="6" t="s">
        <v>8</v>
      </c>
    </row>
    <row r="11" spans="1:2" x14ac:dyDescent="0.25">
      <c r="A11" t="s">
        <v>9</v>
      </c>
      <c r="B11" s="5">
        <v>0.08209473048540065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16.397417114626002</v>
      </c>
    </row>
    <row r="14" spans="1:3" x14ac:dyDescent="0.25">
      <c r="A14" t="s">
        <v>12</v>
      </c>
      <c r="B14" s="5">
        <v>0.13726448234014627</v>
      </c>
      <c r="C14" s="6" t="s">
        <v>13</v>
      </c>
    </row>
    <row r="15" spans="1:3" x14ac:dyDescent="0.25">
      <c r="A15" t="s">
        <v>14</v>
      </c>
      <c r="B15" s="5">
        <v>0.07254783405224145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1.5159000000000002</v>
      </c>
      <c r="C19" s="6" t="s">
        <v>21</v>
      </c>
    </row>
    <row r="20" spans="1:2" x14ac:dyDescent="0.25">
      <c r="A20" t="s">
        <v>22</v>
      </c>
      <c r="B20" s="9">
        <f>B17+B19*B18</f>
        <v>0.11306257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396126224384</v>
      </c>
    </row>
    <row r="23" spans="1:2" x14ac:dyDescent="0.25">
      <c r="A23" t="s">
        <v>26</v>
      </c>
      <c r="B23" s="10">
        <v>156189000000</v>
      </c>
    </row>
    <row r="24" spans="1:2" x14ac:dyDescent="0.25">
      <c r="A24" t="s">
        <v>27</v>
      </c>
      <c r="B24" s="9">
        <f>B22/(B22+B23)</f>
        <v>0.7172104024939773</v>
      </c>
    </row>
    <row r="25" spans="1:2" x14ac:dyDescent="0.25">
      <c r="A25" t="s">
        <v>28</v>
      </c>
      <c r="B25" s="9">
        <f>1-B24</f>
        <v>0.2827895975060227</v>
      </c>
    </row>
    <row r="26" spans="1:2" x14ac:dyDescent="0.25">
      <c r="A26" t="s">
        <v>29</v>
      </c>
      <c r="B26" s="11">
        <f>B24*B20+B25*B21*(1-B8)</f>
        <v>0.0952917823680052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67357000000</v>
      </c>
      <c r="C29" s="6" t="s">
        <v>32</v>
      </c>
    </row>
    <row r="30" spans="1:2" x14ac:dyDescent="0.25">
      <c r="A30" t="s">
        <v>33</v>
      </c>
      <c r="B30" s="10">
        <v>124295000000</v>
      </c>
    </row>
    <row r="31" spans="1:2" x14ac:dyDescent="0.25">
      <c r="A31" t="s">
        <v>34</v>
      </c>
      <c r="B31" s="12">
        <v>2914000000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0.3422288627759549</v>
      </c>
      <c r="C5" s="5">
        <v>0.45712928831581623</v>
      </c>
      <c r="D5" s="5">
        <v>0.4031131272763392</v>
      </c>
      <c r="E5" s="5">
        <v>0.34909696623686215</v>
      </c>
      <c r="F5" s="5">
        <v>0.29508080519738517</v>
      </c>
      <c r="G5" s="5">
        <v>0.24106464415790813</v>
      </c>
      <c r="H5" s="5">
        <v>0.18704848311843109</v>
      </c>
      <c r="I5" s="5">
        <v>0.1330323220789541</v>
      </c>
      <c r="J5" s="5">
        <v>0.07901616103947706</v>
      </c>
      <c r="K5" s="5">
        <v>0.025000000000000022</v>
      </c>
    </row>
    <row r="6" spans="1:11" x14ac:dyDescent="0.25">
      <c r="A6" t="s">
        <v>50</v>
      </c>
      <c r="B6" s="18">
        <f>Assumptions!B29*(1+B5)</f>
        <v>90408509510</v>
      </c>
      <c r="C6" s="18">
        <f>B6*(1+C5)</f>
        <v>131736887120</v>
      </c>
      <c r="D6" s="18">
        <f>C6*(1+D5)</f>
        <v>184841755664.59326</v>
      </c>
      <c r="E6" s="18">
        <f>D6*(1+E5)</f>
        <v>249369451800.9981</v>
      </c>
      <c r="F6" s="18">
        <f>E6*(1+F5)</f>
        <v>322953590430.0672</v>
      </c>
      <c r="G6" s="18">
        <f>F6*(1+G5)</f>
        <v>400806282786.6101</v>
      </c>
      <c r="H6" s="18">
        <f>G6*(1+H5)</f>
        <v>475776490006.1825</v>
      </c>
      <c r="I6" s="18">
        <f>H6*(1+I5)</f>
        <v>539070141262.2793</v>
      </c>
      <c r="J6" s="18">
        <f>I6*(1+J5)</f>
        <v>581665394355.8333</v>
      </c>
      <c r="K6" s="18">
        <f>J6*(1+K5)</f>
        <v>596207029214.729</v>
      </c>
    </row>
    <row r="7" spans="1:11" x14ac:dyDescent="0.25">
      <c r="A7" t="s">
        <v>4</v>
      </c>
      <c r="B7" s="9">
        <f>Assumptions!B7</f>
        <v>0.30671830797500743</v>
      </c>
      <c r="C7" s="9">
        <f>Assumptions!B7</f>
        <v>0.30671830797500743</v>
      </c>
      <c r="D7" s="9">
        <f>Assumptions!B7</f>
        <v>0.30671830797500743</v>
      </c>
      <c r="E7" s="9">
        <f>Assumptions!B7</f>
        <v>0.30671830797500743</v>
      </c>
      <c r="F7" s="9">
        <f>Assumptions!B7</f>
        <v>0.30671830797500743</v>
      </c>
      <c r="G7" s="9">
        <f>Assumptions!B7</f>
        <v>0.30671830797500743</v>
      </c>
      <c r="H7" s="9">
        <f>Assumptions!B7</f>
        <v>0.30671830797500743</v>
      </c>
      <c r="I7" s="9">
        <f>Assumptions!B7</f>
        <v>0.30671830797500743</v>
      </c>
      <c r="J7" s="9">
        <f>Assumptions!B7</f>
        <v>0.30671830797500743</v>
      </c>
      <c r="K7" s="9">
        <f>Assumptions!B7</f>
        <v>0.30671830797500743</v>
      </c>
    </row>
    <row r="8" spans="1:11" x14ac:dyDescent="0.25">
      <c r="A8" t="s">
        <v>51</v>
      </c>
      <c r="B8" s="18">
        <f>B6*B7</f>
        <v>27729945063.44957</v>
      </c>
      <c r="C8" s="18">
        <f>C6*C7</f>
        <v>40406115115.34095</v>
      </c>
      <c r="D8" s="18">
        <f>D6*D7</f>
        <v>56694350540.57379</v>
      </c>
      <c r="E8" s="18">
        <f>E6*E7</f>
        <v>76486176317.05731</v>
      </c>
      <c r="F8" s="18">
        <f>F6*F7</f>
        <v>99055778811.16376</v>
      </c>
      <c r="G8" s="18">
        <f>G6*G7</f>
        <v>122934624882.0614</v>
      </c>
      <c r="H8" s="18">
        <f>H6*H7</f>
        <v>145929359988.9843</v>
      </c>
      <c r="I8" s="18">
        <f>I6*I7</f>
        <v>165342681607.81454</v>
      </c>
      <c r="J8" s="18">
        <f>J6*J7</f>
        <v>178407425564.4366</v>
      </c>
      <c r="K8" s="18">
        <f>K6*K7</f>
        <v>182867611203.54752</v>
      </c>
    </row>
    <row r="9" spans="1:11" x14ac:dyDescent="0.25">
      <c r="A9" t="s">
        <v>52</v>
      </c>
      <c r="B9" s="18">
        <f>B8*(1-Assumptions!B8)</f>
        <v>24544249846.241535</v>
      </c>
      <c r="C9" s="18">
        <f>C8*(1-Assumptions!B8)</f>
        <v>35764145310.69951</v>
      </c>
      <c r="D9" s="18">
        <f>D8*(1-Assumptions!B8)</f>
        <v>50181141771.261</v>
      </c>
      <c r="E9" s="18">
        <f>E8*(1-Assumptions!B8)</f>
        <v>67699226125.910095</v>
      </c>
      <c r="F9" s="18">
        <f>F8*(1-Assumptions!B8)</f>
        <v>87675968282.38351</v>
      </c>
      <c r="G9" s="18">
        <f>G8*(1-Assumptions!B8)</f>
        <v>108811544377.57632</v>
      </c>
      <c r="H9" s="18">
        <f>H8*(1-Assumptions!B8)</f>
        <v>129164578699.17581</v>
      </c>
      <c r="I9" s="18">
        <f>I8*(1-Assumptions!B8)</f>
        <v>146347642533.877</v>
      </c>
      <c r="J9" s="18">
        <f>J8*(1-Assumptions!B8)</f>
        <v>157911471424.08167</v>
      </c>
      <c r="K9" s="18">
        <f>K8*(1-Assumptions!B8)</f>
        <v>161859258209.68372</v>
      </c>
    </row>
    <row r="10" spans="1:11" x14ac:dyDescent="0.25">
      <c r="A10" t="s">
        <v>53</v>
      </c>
      <c r="B10" s="18">
        <f>B6*Assumptions!B9</f>
        <v>10933372954.659613</v>
      </c>
      <c r="C10" s="18">
        <f>C6*Assumptions!B9</f>
        <v>15931337952.314554</v>
      </c>
      <c r="D10" s="18">
        <f>D6*Assumptions!B9</f>
        <v>22353469415.9683</v>
      </c>
      <c r="E10" s="18">
        <f>E6*Assumptions!B9</f>
        <v>30156997773.951317</v>
      </c>
      <c r="F10" s="18">
        <f>F6*Assumptions!B9</f>
        <v>39055748959.42463</v>
      </c>
      <c r="G10" s="18">
        <f>G6*Assumptions!B9</f>
        <v>48470709184.64891</v>
      </c>
      <c r="H10" s="18">
        <f>H6*Assumptions!B9</f>
        <v>57537081813.3121</v>
      </c>
      <c r="I10" s="18">
        <f>I6*Assumptions!B9</f>
        <v>65191373412.58378</v>
      </c>
      <c r="J10" s="18">
        <f>J6*Assumptions!B9</f>
        <v>70342545472.53719</v>
      </c>
      <c r="K10" s="18">
        <f>K6*Assumptions!B9</f>
        <v>72101109109.3506</v>
      </c>
    </row>
    <row r="11" spans="1:11" x14ac:dyDescent="0.25">
      <c r="A11" t="s">
        <v>54</v>
      </c>
      <c r="B11" s="18">
        <f>-B6*B19</f>
        <v>-33896324529.916073</v>
      </c>
      <c r="C11" s="18">
        <f>-C6*C19</f>
        <v>-45803235675.83872</v>
      </c>
      <c r="D11" s="18">
        <f>-D6*D19</f>
        <v>-59232622874.64285</v>
      </c>
      <c r="E11" s="18">
        <f>-E6*E19</f>
        <v>-73118525339.73604</v>
      </c>
      <c r="F11" s="18">
        <f>-F6*F19</f>
        <v>-85898175545.69786</v>
      </c>
      <c r="G11" s="18">
        <f>-G6*G19</f>
        <v>-95688507143.4673</v>
      </c>
      <c r="H11" s="18">
        <f>-H6*H19</f>
        <v>-100628267012.80714</v>
      </c>
      <c r="I11" s="18">
        <f>-I6*I19</f>
        <v>-99332532124.30534</v>
      </c>
      <c r="J11" s="18">
        <f>-J6*J19</f>
        <v>-91338702071.51785</v>
      </c>
      <c r="K11" s="18">
        <f>-K6*K19</f>
        <v>-77383396580.53563</v>
      </c>
    </row>
    <row r="12" spans="1:11" x14ac:dyDescent="0.25">
      <c r="A12" t="s">
        <v>55</v>
      </c>
      <c r="B12" s="18">
        <f>-(B6-Assumptions!B29)*Assumptions!B11</f>
        <v>-1892407460.5051</v>
      </c>
      <c r="C12" s="18">
        <f>-(C6-B6)*Assumptions!B11</f>
        <v>-3392842021.2918167</v>
      </c>
      <c r="D12" s="18">
        <f>-(D6-C6)*Assumptions!B11</f>
        <v>-4359629870.631015</v>
      </c>
      <c r="E12" s="18">
        <f>-(E6-D6)*Assumptions!B11</f>
        <v>-5297383823.161985</v>
      </c>
      <c r="F12" s="18">
        <f>-(F6-E6)*Assumptions!B11</f>
        <v>-6040870028.753786</v>
      </c>
      <c r="G12" s="18">
        <f>-(G6-F6)*Assumptions!B11</f>
        <v>-6391295796.573201</v>
      </c>
      <c r="H12" s="18">
        <f>-(H6-G6)*Assumptions!B11</f>
        <v>-6154658956.125434</v>
      </c>
      <c r="I12" s="18">
        <f>-(I6-H6)*Assumptions!B11</f>
        <v>-5196075241.306208</v>
      </c>
      <c r="J12" s="18">
        <f>-(J6-I6)*Assumptions!B11</f>
        <v>-3496845822.6727405</v>
      </c>
      <c r="K12" s="18">
        <f>-(K6-J6)*Assumptions!B11</f>
        <v>-1193791594.5581539</v>
      </c>
    </row>
    <row r="13" spans="1:11" x14ac:dyDescent="0.25">
      <c r="A13" s="19" t="s">
        <v>56</v>
      </c>
      <c r="B13" s="20">
        <f>B9+B10+B11+B12</f>
        <v>-311109189.5200269</v>
      </c>
      <c r="C13" s="20">
        <f>C9+C10+C11+C12</f>
        <v>2499405565.883522</v>
      </c>
      <c r="D13" s="20">
        <f>D9+D10+D11+D12</f>
        <v>8942358441.95544</v>
      </c>
      <c r="E13" s="20">
        <f>E9+E10+E11+E12</f>
        <v>19440314736.963394</v>
      </c>
      <c r="F13" s="20">
        <f>F9+F10+F11+F12</f>
        <v>34792671667.35649</v>
      </c>
      <c r="G13" s="20">
        <f>G9+G10+G11+G12</f>
        <v>55202450622.184715</v>
      </c>
      <c r="H13" s="20">
        <f>H9+H10+H11+H12</f>
        <v>79918734543.55534</v>
      </c>
      <c r="I13" s="20">
        <f>I9+I10+I11+I12</f>
        <v>107010408580.84923</v>
      </c>
      <c r="J13" s="20">
        <f>J9+J10+J11+J12</f>
        <v>133418469002.42824</v>
      </c>
      <c r="K13" s="20">
        <f>K9+K10+K11+K12</f>
        <v>155383179143.9405</v>
      </c>
    </row>
    <row r="14" spans="1:11" x14ac:dyDescent="0.25">
      <c r="A14" t="s">
        <v>57</v>
      </c>
      <c r="B14" s="21">
        <f>1/(1+Assumptions!$B$26)^(1-0.5*Assumptions!$B$32)</f>
        <v>0.9555096672797544</v>
      </c>
      <c r="C14" s="21">
        <f>1/(1+Assumptions!$B$26)^(2-0.5*Assumptions!$B$32)</f>
        <v>0.8723791072493542</v>
      </c>
      <c r="D14" s="21">
        <f>1/(1+Assumptions!$B$26)^(3-0.5*Assumptions!$B$32)</f>
        <v>0.7964810119941582</v>
      </c>
      <c r="E14" s="21">
        <f>1/(1+Assumptions!$B$26)^(4-0.5*Assumptions!$B$32)</f>
        <v>0.7271861478520157</v>
      </c>
      <c r="F14" s="21">
        <f>1/(1+Assumptions!$B$26)^(5-0.5*Assumptions!$B$32)</f>
        <v>0.6639200252921187</v>
      </c>
      <c r="G14" s="21">
        <f>1/(1+Assumptions!$B$26)^(6-0.5*Assumptions!$B$32)</f>
        <v>0.6061581361057352</v>
      </c>
      <c r="H14" s="21">
        <f>1/(1+Assumptions!$B$26)^(7-0.5*Assumptions!$B$32)</f>
        <v>0.553421604967427</v>
      </c>
      <c r="I14" s="21">
        <f>1/(1+Assumptions!$B$26)^(8-0.5*Assumptions!$B$32)</f>
        <v>0.5052732193159866</v>
      </c>
      <c r="J14" s="21">
        <f>1/(1+Assumptions!$B$26)^(9-0.5*Assumptions!$B$32)</f>
        <v>0.461313804640799</v>
      </c>
      <c r="K14" s="21">
        <f>1/(1+Assumptions!$B$26)^(10-0.5*Assumptions!$B$32)</f>
        <v>0.42117891512291383</v>
      </c>
    </row>
    <row r="15" spans="1:11" x14ac:dyDescent="0.25">
      <c r="A15" s="19" t="s">
        <v>58</v>
      </c>
      <c r="B15" s="20">
        <f>B13*B14</f>
        <v>-297267838.16595495</v>
      </c>
      <c r="C15" s="20">
        <f>C13*C14</f>
        <v>2180429196.219534</v>
      </c>
      <c r="D15" s="20">
        <f>D13*D14</f>
        <v>7122418701.463173</v>
      </c>
      <c r="E15" s="20">
        <f>E13*E14</f>
        <v>14136727586.603184</v>
      </c>
      <c r="F15" s="20">
        <f>F13*F14</f>
        <v>23099551453.371704</v>
      </c>
      <c r="G15" s="20">
        <f>G13*G14</f>
        <v>33461414577.61237</v>
      </c>
      <c r="H15" s="20">
        <f>H13*H14</f>
        <v>44228754338.06015</v>
      </c>
      <c r="I15" s="20">
        <f>I13*I14</f>
        <v>54069493643.96476</v>
      </c>
      <c r="J15" s="20">
        <f>J13*J14</f>
        <v>61547781544.86068</v>
      </c>
      <c r="K15" s="20">
        <f>K13*K14</f>
        <v>65444118820.19423</v>
      </c>
    </row>
    <row r="17" spans="1:2" x14ac:dyDescent="0.25">
      <c r="A17" s="22" t="s">
        <v>59</v>
      </c>
      <c r="B17" s="23">
        <f>SUM(B15:K15)</f>
        <v>304993422024.18384</v>
      </c>
    </row>
    <row r="19" spans="1:11" x14ac:dyDescent="0.25">
      <c r="A19" t="s">
        <v>7</v>
      </c>
      <c r="B19" s="9">
        <f>Assumptions!$B$10+($B$20-Assumptions!$B$10)*0/9</f>
        <v>0.37492404988898564</v>
      </c>
      <c r="C19" s="9">
        <f>Assumptions!$B$10+($B$20-Assumptions!$B$10)*1/9</f>
        <v>0.347687247491405</v>
      </c>
      <c r="D19" s="9">
        <f>Assumptions!$B$10+($B$20-Assumptions!$B$10)*2/9</f>
        <v>0.3204504450938244</v>
      </c>
      <c r="E19" s="9">
        <f>Assumptions!$B$10+($B$20-Assumptions!$B$10)*3/9</f>
        <v>0.2932136426962438</v>
      </c>
      <c r="F19" s="9">
        <f>Assumptions!$B$10+($B$20-Assumptions!$B$10)*4/9</f>
        <v>0.2659768402986632</v>
      </c>
      <c r="G19" s="9">
        <f>Assumptions!$B$10+($B$20-Assumptions!$B$10)*5/9</f>
        <v>0.23874003790108253</v>
      </c>
      <c r="H19" s="9">
        <f>Assumptions!$B$10+($B$20-Assumptions!$B$10)*6/9</f>
        <v>0.21150323550350192</v>
      </c>
      <c r="I19" s="9">
        <f>Assumptions!$B$10+($B$20-Assumptions!$B$10)*7/9</f>
        <v>0.1842664331059213</v>
      </c>
      <c r="J19" s="9">
        <f>Assumptions!$B$10+($B$20-Assumptions!$B$10)*8/9</f>
        <v>0.1570296307083407</v>
      </c>
      <c r="K19" s="9">
        <f>Assumptions!$B$10+($B$20-Assumptions!$B$10)*9/9</f>
        <v>0.12979282831076006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0.12979282831076006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155383179143.9405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187392746338.20813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0.18213014447575093</v>
      </c>
    </row>
    <row r="7" spans="1:2" x14ac:dyDescent="0.25">
      <c r="A7" t="s">
        <v>66</v>
      </c>
      <c r="B7" s="18">
        <f>-MAX(B5,0)*B6</f>
        <v>-34129867964.285595</v>
      </c>
    </row>
    <row r="8" spans="1:2" x14ac:dyDescent="0.25">
      <c r="A8" t="s">
        <v>67</v>
      </c>
      <c r="B8" s="18">
        <f>IF(OR(Assumptions!$B$33=0,Assumptions!B12&lt;=0),B5,MAX(B5+B7,0))</f>
        <v>153262878373.92255</v>
      </c>
    </row>
    <row r="9" spans="1:2" x14ac:dyDescent="0.25">
      <c r="A9" t="s">
        <v>68</v>
      </c>
      <c r="B9" s="18">
        <f>B8*(1+Assumptions!B12)/(Assumptions!B26-Assumptions!B12)</f>
        <v>2234890694773.0986</v>
      </c>
    </row>
    <row r="10" spans="1:2" x14ac:dyDescent="0.25">
      <c r="A10" t="s">
        <v>69</v>
      </c>
      <c r="B10" s="18">
        <f>B9/(1+Assumptions!B26)^(10-0.5*Assumptions!B32)</f>
        <v>941288838242.8289</v>
      </c>
    </row>
    <row r="11" spans="1:2" x14ac:dyDescent="0.25">
      <c r="A11" t="s">
        <v>70</v>
      </c>
      <c r="B11" s="18">
        <f>Forecast!B17+B10</f>
        <v>1246282260267.0127</v>
      </c>
    </row>
    <row r="12" spans="1:2" x14ac:dyDescent="0.25">
      <c r="A12" t="s">
        <v>71</v>
      </c>
      <c r="B12" s="18">
        <f>-Assumptions!B30</f>
        <v>-124295000000</v>
      </c>
    </row>
    <row r="13" spans="1:2" x14ac:dyDescent="0.25">
      <c r="A13" t="s">
        <v>72</v>
      </c>
      <c r="B13" s="18">
        <f>B11+B12</f>
        <v>1121987260267.0127</v>
      </c>
    </row>
    <row r="14" spans="1:2" x14ac:dyDescent="0.25">
      <c r="A14" s="19" t="s">
        <v>73</v>
      </c>
      <c r="B14" s="24">
        <f>B13/Assumptions!B31</f>
        <v>385.0333768932782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254968720312.89813</v>
      </c>
    </row>
    <row r="18" spans="1:2" x14ac:dyDescent="0.25">
      <c r="A18" t="s">
        <v>68</v>
      </c>
      <c r="B18" s="18">
        <f>B17*Assumptions!B13</f>
        <v>4180828458153.0063</v>
      </c>
    </row>
    <row r="19" spans="1:2" x14ac:dyDescent="0.25">
      <c r="A19" t="s">
        <v>69</v>
      </c>
      <c r="B19" s="18">
        <f>B18/(1+Assumptions!B26)^(10-0.5*Assumptions!B32)</f>
        <v>1760876794319.8877</v>
      </c>
    </row>
    <row r="20" spans="1:2" x14ac:dyDescent="0.25">
      <c r="A20" t="s">
        <v>70</v>
      </c>
      <c r="B20" s="18">
        <f>Forecast!B17+B19</f>
        <v>2065870216344.0715</v>
      </c>
    </row>
    <row r="21" spans="1:2" x14ac:dyDescent="0.25">
      <c r="A21" t="s">
        <v>71</v>
      </c>
      <c r="B21" s="18">
        <f>-Assumptions!B30</f>
        <v>-124295000000</v>
      </c>
    </row>
    <row r="22" spans="1:2" x14ac:dyDescent="0.25">
      <c r="A22" t="s">
        <v>72</v>
      </c>
      <c r="B22" s="18">
        <f>B20+B21</f>
        <v>1941575216344.0715</v>
      </c>
    </row>
    <row r="23" spans="1:2" x14ac:dyDescent="0.25">
      <c r="A23" s="19" t="s">
        <v>73</v>
      </c>
      <c r="B23" s="25">
        <f>B22/Assumptions!B31</f>
        <v>666.2921126781303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130.67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385.0333768932782</v>
      </c>
    </row>
    <row r="29" spans="1:2" x14ac:dyDescent="0.25">
      <c r="A29" s="19" t="s">
        <v>81</v>
      </c>
      <c r="B29" s="11">
        <f>B28/B26-1</f>
        <v>1.9466088382435007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0.075292</v>
      </c>
      <c r="B5" s="31">
        <v>571.6651822386657</v>
      </c>
      <c r="C5" s="31">
        <v>590.8979418653399</v>
      </c>
      <c r="D5" s="31">
        <v>614.8024400095437</v>
      </c>
      <c r="E5" s="31">
        <v>644.9258831925828</v>
      </c>
      <c r="F5" s="31">
        <v>683.5834748191651</v>
      </c>
    </row>
    <row r="6" spans="1:6" x14ac:dyDescent="0.25">
      <c r="A6" s="30">
        <v>0.085292</v>
      </c>
      <c r="B6" s="31">
        <v>459.42973684463055</v>
      </c>
      <c r="C6" s="31">
        <v>468.6467065947589</v>
      </c>
      <c r="D6" s="31">
        <v>480.05787952113826</v>
      </c>
      <c r="E6" s="31">
        <v>494.2585143889386</v>
      </c>
      <c r="F6" s="31">
        <v>512.0805910184355</v>
      </c>
    </row>
    <row r="7" spans="1:6" x14ac:dyDescent="0.25">
      <c r="A7" s="30">
        <v>0.095292</v>
      </c>
      <c r="B7" s="31">
        <v>376.51909654683874</v>
      </c>
      <c r="C7" s="31">
        <v>380.2416799883027</v>
      </c>
      <c r="D7" s="32">
        <v>385.0316172749664</v>
      </c>
      <c r="E7" s="31">
        <v>391.13411926999834</v>
      </c>
      <c r="F7" s="31">
        <v>398.87573793096374</v>
      </c>
    </row>
    <row r="8" spans="1:6" x14ac:dyDescent="0.25">
      <c r="A8" s="30">
        <v>0.105292</v>
      </c>
      <c r="B8" s="31">
        <v>313.09879696505607</v>
      </c>
      <c r="C8" s="31">
        <v>313.68745998403836</v>
      </c>
      <c r="D8" s="31">
        <v>314.7933329146303</v>
      </c>
      <c r="E8" s="31">
        <v>316.5194565669334</v>
      </c>
      <c r="F8" s="31">
        <v>318.9981896848395</v>
      </c>
    </row>
    <row r="9" spans="1:6" x14ac:dyDescent="0.25">
      <c r="A9" s="30">
        <v>0.115292</v>
      </c>
      <c r="B9" s="31">
        <v>263.26371211237597</v>
      </c>
      <c r="C9" s="31">
        <v>262.0307732410782</v>
      </c>
      <c r="D9" s="31">
        <v>261.0337622055895</v>
      </c>
      <c r="E9" s="31">
        <v>260.31417079338297</v>
      </c>
      <c r="F9" s="31">
        <v>259.9238260152344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67357000000</v>
      </c>
      <c r="C5" s="18">
        <v>57399000000</v>
      </c>
      <c r="D5" s="18">
        <v>52961000000</v>
      </c>
      <c r="E5" s="18">
        <v>49954000000</v>
      </c>
      <c r="F5" s="6" t="s">
        <v>91</v>
      </c>
    </row>
    <row r="6" spans="1:6" x14ac:dyDescent="0.25">
      <c r="A6" t="s">
        <v>51</v>
      </c>
      <c r="B6" s="18">
        <v>22444000000</v>
      </c>
      <c r="C6" s="18">
        <v>18052000000</v>
      </c>
      <c r="D6" s="18">
        <v>16071000000</v>
      </c>
      <c r="E6" s="18">
        <v>13773000000</v>
      </c>
      <c r="F6" s="6" t="s">
        <v>92</v>
      </c>
    </row>
    <row r="7" spans="1:6" x14ac:dyDescent="0.25">
      <c r="A7" t="s">
        <v>93</v>
      </c>
      <c r="B7" s="18">
        <v>9294000000</v>
      </c>
      <c r="C7" s="18">
        <v>6174000000</v>
      </c>
      <c r="D7" s="18">
        <v>6139000000</v>
      </c>
      <c r="E7" s="18">
        <v>6108000000</v>
      </c>
      <c r="F7" s="6" t="s">
        <v>94</v>
      </c>
    </row>
    <row r="8" spans="1:6" x14ac:dyDescent="0.25">
      <c r="A8" t="s">
        <v>95</v>
      </c>
      <c r="B8" s="18">
        <v>55663000000</v>
      </c>
      <c r="C8" s="18">
        <v>21215000000</v>
      </c>
      <c r="D8" s="18">
        <v>6866000000</v>
      </c>
      <c r="E8" s="18">
        <v>8695000000</v>
      </c>
      <c r="F8" s="6" t="s">
        <v>96</v>
      </c>
    </row>
    <row r="9" spans="1:6" x14ac:dyDescent="0.25">
      <c r="A9" t="s">
        <v>97</v>
      </c>
      <c r="B9" s="18">
        <v>-4135000000</v>
      </c>
      <c r="C9" s="18">
        <v>1500000000</v>
      </c>
      <c r="D9" s="18">
        <v>488000000</v>
      </c>
      <c r="E9" s="18">
        <v>-513000000</v>
      </c>
      <c r="F9" s="6" t="s">
        <v>98</v>
      </c>
    </row>
    <row r="10" spans="1:6" x14ac:dyDescent="0.25">
      <c r="A10" t="s">
        <v>99</v>
      </c>
      <c r="B10" s="18">
        <v>156189000000</v>
      </c>
      <c r="C10" s="18">
        <v>104104000000</v>
      </c>
      <c r="D10" s="18">
        <v>93124000000</v>
      </c>
      <c r="E10" s="18">
        <v>90481000000</v>
      </c>
      <c r="F10" s="6" t="s">
        <v>100</v>
      </c>
    </row>
    <row r="11" spans="1:6" x14ac:dyDescent="0.25">
      <c r="A11" t="s">
        <v>101</v>
      </c>
      <c r="B11" s="18">
        <v>31894000000</v>
      </c>
      <c r="C11" s="18">
        <v>11203000000</v>
      </c>
      <c r="D11" s="18">
        <v>10661000000</v>
      </c>
      <c r="E11" s="18">
        <v>10187000000</v>
      </c>
      <c r="F11" s="6" t="s">
        <v>102</v>
      </c>
    </row>
    <row r="12" spans="1:6" x14ac:dyDescent="0.25">
      <c r="A12" t="s">
        <v>34</v>
      </c>
      <c r="B12" s="34">
        <v>2914000000</v>
      </c>
      <c r="C12" s="34">
        <v>2866000000</v>
      </c>
      <c r="D12" s="34">
        <v>2823000000</v>
      </c>
      <c r="E12" s="34">
        <v>2766000000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