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<sst xmlns="http://schemas.openxmlformats.org/spreadsheetml/2006/main" count="113" uniqueCount="101">
  <si>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Origin Energy Limited (ORG.AX)</t>
  </si>
  <si>
    <t>DCF Studio - Base case</t>
  </si>
  <si>
    <t>Blue figures on a cream fill are inputs. Every other figure is a formula - change an input and the model reprices. Currency figures are AUD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</si>
  <si>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</si>
  <si>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</si>
  <si>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</si>
  <si>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</si>
  <si>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</si>
  <si>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</si>
  <si>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</si>
  <si>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</si>
  <si>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</si>
  <si>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</si>
  <si>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</si>
  <si>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</si>
  <si>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</si>
  <si>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</si>
  <si>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</si>
  <si>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</si>
  <si>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</si>
  <si>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</si>
  <si>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</si>
  <si>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</si>
  <si>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(AUD m)</t>
  </si>
  <si>
    <t>Total debt (AUD m)</t>
  </si>
  <si>
    <t>Equity weight</t>
  </si>
  <si>
    <t>Debt weight</t>
  </si>
  <si>
    <t>WACC</t>
  </si>
  <si>
    <t>Base year</t>
  </si>
  <si>
    <t>Revenue, last reported year (AUD m)</t>
  </si>
  <si>
    <t>Fiscal year ended 2026-06-30</t>
  </si>
  <si>
    <t>Net debt (AUD m)</t>
  </si>
  <si>
    <t>Diluted shares</t>
  </si>
  <si>
    <t>Mid-year discounting (1 = yes, 0 = no)</t>
  </si>
  <si>
    <t>Terminal year on a steady-state footing (1 = yes, 0 = no)</t>
  </si>
  <si>
    <t>Forecast cashflows (AUD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</si>
  <si>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</si>
  <si>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</si>
  <si>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</si>
  <si>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</si>
  <si>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</si>
  <si>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</si>
  <si>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</si>
  <si>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</si>
  <si>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</si>
  <si>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</si>
  <si>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</si>
  <si>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</si>
  <si>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</si>
  <si>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</si>
  <si>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</si>
  <si>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</si>
  <si>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</si>
  <si>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(AUD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</si>
  <si>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</si>
  <si>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</si>
  <si>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</si>
  <si>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</si>
  <si>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</si>
  <si>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</si>
  <si>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</si>
  <si>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</si>
  <si>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</si>
  <si>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</si>
  <si>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</si>
  <si>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</si>
  <si>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</si>
  <si>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</si>
  <si>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</si>
  <si>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</si>
  <si>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AUD to AUD</t>
  </si>
  <si>
    <t>Same currency, no conversion</t>
  </si>
  <si>
    <t>Value per share (AUD)</t>
  </si>
  <si>
    <t>Implied upside</t>
  </si>
  <si>
    <t>Value per share (AUD)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</si>
  <si>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</si>
  <si>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(AUD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</si>
  <si>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</si>
  <si>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</si>
  <si>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</si>
  <si>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</si>
  <si>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</si>
  <si>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</si>
  <si>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</si>
  <si>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</si>
  <si>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</si>
  <si>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</si>
  <si>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</si>
  <si>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</si>
  <si>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</si>
  <si>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</si>
  <si>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</si>
  <si>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</si>
  <si>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</si>
  <si>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</si>
  <si>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</si>
  <si>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</si>
  <si>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</si>
  <si>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Some line items were not reported and have been derived. Each one is labelled in the workings below.</t>
  </si>
  <si>
    <t>Adjusted: Capital expenditure runs at 5.5% of revenue against depreciation of 3.4%.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</si>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</sst>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-0.019661390461404915</v>
      </c>
    </row>
    <row r="7" spans="1:2" x14ac:dyDescent="0.25">
      <c r="A7" t="s">
        <v>5</v>
      </c>
      <c r="B7" s="6">
        <v>0.05443209916375067</v>
      </c>
    </row>
    <row r="8" spans="1:2" x14ac:dyDescent="0.25">
      <c r="A8" t="s">
        <v>6</v>
      </c>
      <c r="B8" s="6">
        <v>0.17842474928864788</v>
      </c>
    </row>
    <row r="9" spans="1:2" x14ac:dyDescent="0.25">
      <c r="A9" t="s">
        <v>7</v>
      </c>
      <c r="B9" s="6">
        <v>0.033832495822924594</v>
      </c>
    </row>
    <row r="10" spans="1:2" x14ac:dyDescent="0.25">
      <c r="A10" t="s">
        <v>8</v>
      </c>
      <c r="B10" s="6">
        <v>0.054684774561726344</v>
      </c>
    </row>
    <row r="11" spans="1:2" x14ac:dyDescent="0.25">
      <c r="A11" t="s">
        <v>9</v>
      </c>
      <c r="B11" s="6">
        <v>0.047285464098073555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12.641405781512605</v>
      </c>
    </row>
    <row r="14" spans="1:3" x14ac:dyDescent="0.25">
      <c r="A14" t="s">
        <v>12</v>
      </c>
      <c r="B14" s="6">
        <v>0.08232423345666384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0.63954</v>
      </c>
      <c r="C19" s="8" t="s">
        <v>19</v>
      </c>
    </row>
    <row r="20" spans="1:2" x14ac:dyDescent="0.25">
      <c r="A20" t="s">
        <v>20</v>
      </c>
      <c r="B20" s="10">
        <f>B17+B19*B18</f>
        <v>0.0918524</v>
      </c>
    </row>
    <row r="21" spans="1:3" x14ac:dyDescent="0.25">
      <c r="A21" t="s">
        <v>21</v>
      </c>
      <c r="B21" s="6">
        <v>0.05348</v>
      </c>
      <c r="C21" s="8" t="s">
        <v>22</v>
      </c>
    </row>
    <row r="22" spans="1:2" x14ac:dyDescent="0.25">
      <c r="A22" t="s">
        <v>23</v>
      </c>
      <c r="B22" s="11">
        <v>20087236608</v>
      </c>
    </row>
    <row r="23" spans="1:2" x14ac:dyDescent="0.25">
      <c r="A23" t="s">
        <v>24</v>
      </c>
      <c r="B23" s="11">
        <v>4986000000</v>
      </c>
    </row>
    <row r="24" spans="1:2" x14ac:dyDescent="0.25">
      <c r="A24" t="s">
        <v>25</v>
      </c>
      <c r="B24" s="10">
        <f>B22/(B22+B23)</f>
        <v>0.8011425458167958</v>
      </c>
    </row>
    <row r="25" spans="1:2" x14ac:dyDescent="0.25">
      <c r="A25" t="s">
        <v>26</v>
      </c>
      <c r="B25" s="10">
        <f>1-B24</f>
        <v>0.19885745418320422</v>
      </c>
    </row>
    <row r="26" spans="1:2" x14ac:dyDescent="0.25">
      <c r="A26" t="s">
        <v>27</v>
      </c>
      <c r="B26" s="12">
        <f>B24*B20+B25*B21*(1-B8)</f>
        <v>0.08232423345666384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15428000000</v>
      </c>
      <c r="C29" s="8" t="s">
        <v>30</v>
      </c>
    </row>
    <row r="30" spans="1:2" x14ac:dyDescent="0.25">
      <c r="A30" t="s">
        <v>31</v>
      </c>
      <c r="B30" s="11">
        <v>3982000000</v>
      </c>
    </row>
    <row r="31" spans="1:2" x14ac:dyDescent="0.25">
      <c r="A31" t="s">
        <v>32</v>
      </c>
      <c r="B31" s="13">
        <v>1725877193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-0.019661390461404915</v>
      </c>
      <c r="C5" s="10">
        <f>Assumptions!B6</f>
        <v>-0.019661390461404915</v>
      </c>
      <c r="D5" s="10">
        <f>Assumptions!B6</f>
        <v>-0.019661390461404915</v>
      </c>
      <c r="E5" s="10">
        <f>Assumptions!B6</f>
        <v>-0.019661390461404915</v>
      </c>
      <c r="F5" s="10">
        <f>Assumptions!B6</f>
        <v>-0.019661390461404915</v>
      </c>
    </row>
    <row r="6" spans="1:6" x14ac:dyDescent="0.25">
      <c r="A6" t="s">
        <v>43</v>
      </c>
      <c r="B6" s="18">
        <f>Assumptions!B29*(1+B5)</f>
        <v>15124664067.961445</v>
      </c>
      <c r="C6" s="18">
        <f>B6*(1+C5)</f>
        <v>14827292142.123674</v>
      </c>
      <c r="D6" s="18">
        <f>C6*(1+D5)</f>
        <v>14535766961.83206</v>
      </c>
      <c r="E6" s="18">
        <f>D6*(1+E5)</f>
        <v>14249973571.93949</v>
      </c>
      <c r="F6" s="18">
        <f>E6*(1+F5)</f>
        <v>13969799277.476887</v>
      </c>
    </row>
    <row r="7" spans="1:6" x14ac:dyDescent="0.25">
      <c r="A7" t="s">
        <v>5</v>
      </c>
      <c r="B7" s="10">
        <f>Assumptions!B7</f>
        <v>0.05443209916375067</v>
      </c>
      <c r="C7" s="10">
        <f>Assumptions!B7</f>
        <v>0.05443209916375067</v>
      </c>
      <c r="D7" s="10">
        <f>Assumptions!B7</f>
        <v>0.05443209916375067</v>
      </c>
      <c r="E7" s="10">
        <f>Assumptions!B7</f>
        <v>0.05443209916375067</v>
      </c>
      <c r="F7" s="10">
        <f>Assumptions!B7</f>
        <v>0.05443209916375067</v>
      </c>
    </row>
    <row r="8" spans="1:6" x14ac:dyDescent="0.25">
      <c r="A8" t="s">
        <v>44</v>
      </c>
      <c r="B8" s="18">
        <f>B6*B7</f>
        <v>823267214.3656939</v>
      </c>
      <c r="C8" s="18">
        <f>C6*C7</f>
        <v>807080636.2099769</v>
      </c>
      <c r="D8" s="18">
        <f>D6*D7</f>
        <v>791212308.6876135</v>
      </c>
      <c r="E8" s="18">
        <f>E6*E7</f>
        <v>775655974.5486367</v>
      </c>
      <c r="F8" s="18">
        <f>F6*F7</f>
        <v>760405499.5693144</v>
      </c>
    </row>
    <row r="9" spans="1:6" x14ac:dyDescent="0.25">
      <c r="A9" t="s">
        <v>45</v>
      </c>
      <c r="B9" s="18">
        <f>B8*(1-Assumptions!B8)</f>
        <v>676375968.0449314</v>
      </c>
      <c r="C9" s="18">
        <f>C8*(1-Assumptions!B8)</f>
        <v>663077476.0384893</v>
      </c>
      <c r="D9" s="18">
        <f>D8*(1-Assumptions!B8)</f>
        <v>650040450.8759338</v>
      </c>
      <c r="E9" s="18">
        <f>E8*(1-Assumptions!B8)</f>
        <v>637259751.7555543</v>
      </c>
      <c r="F9" s="18">
        <f>F8*(1-Assumptions!B8)</f>
        <v>624730338.9509504</v>
      </c>
    </row>
    <row r="10" spans="1:6" x14ac:dyDescent="0.25">
      <c r="A10" t="s">
        <v>46</v>
      </c>
      <c r="B10" s="18">
        <f>B6*Assumptions!B9</f>
        <v>511705133.9024433</v>
      </c>
      <c r="C10" s="18">
        <f>C6*Assumptions!B9</f>
        <v>501644299.4636819</v>
      </c>
      <c r="D10" s="18">
        <f>D6*Assumptions!B9</f>
        <v>491781275.01918846</v>
      </c>
      <c r="E10" s="18">
        <f>E6*Assumptions!B9</f>
        <v>482112171.34942865</v>
      </c>
      <c r="F10" s="18">
        <f>F6*Assumptions!B9</f>
        <v>472633175.7023318</v>
      </c>
    </row>
    <row r="11" spans="1:6" x14ac:dyDescent="0.25">
      <c r="A11" t="s">
        <v>47</v>
      </c>
      <c r="B11" s="18">
        <f>-B6*Assumptions!B10</f>
        <v>-827088844.8783145</v>
      </c>
      <c r="C11" s="18">
        <f>-C6*Assumptions!B10</f>
        <v>-810827128.1528896</v>
      </c>
      <c r="D11" s="18">
        <f>-D6*Assumptions!B10</f>
        <v>-794885139.3895761</v>
      </c>
      <c r="E11" s="18">
        <f>-E6*Assumptions!B10</f>
        <v>-779256592.2920693</v>
      </c>
      <c r="F11" s="18">
        <f>-F6*Assumptions!B10</f>
        <v>-763935324.1613911</v>
      </c>
    </row>
    <row r="12" spans="1:6" x14ac:dyDescent="0.25">
      <c r="A12" t="s">
        <v>48</v>
      </c>
      <c r="B12" s="18">
        <f>-(B6-Assumptions!B29)*Assumptions!B11</f>
        <v>14343380.32406478</v>
      </c>
      <c r="C12" s="18">
        <f>-(C6-B6)*Assumptions!B11</f>
        <v>14061369.522976886</v>
      </c>
      <c r="D12" s="18">
        <f>-(D6-C6)*Assumptions!B11</f>
        <v>13784903.446363559</v>
      </c>
      <c r="E12" s="18">
        <f>-(E6-D6)*Assumptions!B11</f>
        <v>13513873.07723188</v>
      </c>
      <c r="F12" s="18">
        <f>-(F6-E6)*Assumptions!B11</f>
        <v>13248171.542014485</v>
      </c>
    </row>
    <row r="13" spans="1:6" x14ac:dyDescent="0.25">
      <c r="A13" s="19" t="s">
        <v>49</v>
      </c>
      <c r="B13" s="20">
        <f>B9+B10+B11+B12</f>
        <v>375335637.3931251</v>
      </c>
      <c r="C13" s="20">
        <f>C9+C10+C11+C12</f>
        <v>367956016.87225854</v>
      </c>
      <c r="D13" s="20">
        <f>D9+D10+D11+D12</f>
        <v>360721489.9519098</v>
      </c>
      <c r="E13" s="20">
        <f>E9+E10+E11+E12</f>
        <v>353629203.8901454</v>
      </c>
      <c r="F13" s="20">
        <f>F9+F10+F11+F12</f>
        <v>346676362.0339055</v>
      </c>
    </row>
    <row r="14" spans="1:6" x14ac:dyDescent="0.25">
      <c r="A14" t="s">
        <v>50</v>
      </c>
      <c r="B14" s="21">
        <f>1/(1+Assumptions!$B$26)^(1-0.5*Assumptions!$B$32)</f>
        <v>0.9612167026625377</v>
      </c>
      <c r="C14" s="21">
        <f>1/(1+Assumptions!$B$26)^(2-0.5*Assumptions!$B$32)</f>
        <v>0.8881042047748112</v>
      </c>
      <c r="D14" s="21">
        <f>1/(1+Assumptions!$B$26)^(3-0.5*Assumptions!$B$32)</f>
        <v>0.8205528226402508</v>
      </c>
      <c r="E14" s="21">
        <f>1/(1+Assumptions!$B$26)^(4-0.5*Assumptions!$B$32)</f>
        <v>0.7581395641670308</v>
      </c>
      <c r="F14" s="21">
        <f>1/(1+Assumptions!$B$26)^(5-0.5*Assumptions!$B$32)</f>
        <v>0.7004736110783817</v>
      </c>
    </row>
    <row r="15" spans="1:6" x14ac:dyDescent="0.25">
      <c r="A15" s="19" t="s">
        <v>51</v>
      </c>
      <c r="B15" s="20">
        <f>B13*B14</f>
        <v>360778883.7667616</v>
      </c>
      <c r="C15" s="20">
        <f>C13*C14</f>
        <v>326783285.7564442</v>
      </c>
      <c r="D15" s="20">
        <f>D13*D14</f>
        <v>295991036.76703644</v>
      </c>
      <c r="E15" s="20">
        <f>E13*E14</f>
        <v>268100290.5140089</v>
      </c>
      <c r="F15" s="20">
        <f>F13*F14</f>
        <v>242837643.1894062</v>
      </c>
    </row>
    <row r="17" spans="1:2" x14ac:dyDescent="0.25">
      <c r="A17" s="22" t="s">
        <v>52</v>
      </c>
      <c r="B17" s="23">
        <f>SUM(B15:F15)</f>
        <v>1494491139.9936574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346676362.0339055</v>
      </c>
    </row>
    <row r="5" spans="1:2" x14ac:dyDescent="0.25">
      <c r="A5" t="s">
        <v>56</v>
      </c>
      <c r="B5" s="18">
        <f>IF(Assumptions!$B$33=0,B4,B4-Forecast!F11-Forecast!F10-Forecast!F12)</f>
        <v>624730338.9509504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0.30367728857336046</v>
      </c>
    </row>
    <row r="7" spans="1:2" x14ac:dyDescent="0.25">
      <c r="A7" t="s">
        <v>58</v>
      </c>
      <c r="B7" s="18">
        <f>-MAX(Forecast!F9,0)*B6</f>
        <v>-189716415.42214105</v>
      </c>
    </row>
    <row r="8" spans="1:2" x14ac:dyDescent="0.25">
      <c r="A8" t="s">
        <v>59</v>
      </c>
      <c r="B8" s="18">
        <f>IF(OR(Assumptions!$B$33=0,Assumptions!B12&lt;=0),B5,MAX(B5+B7,0))</f>
        <v>435013923.5288093</v>
      </c>
    </row>
    <row r="9" spans="1:2" x14ac:dyDescent="0.25">
      <c r="A9" t="s">
        <v>60</v>
      </c>
      <c r="B9" s="18">
        <f>B8*(1+Assumptions!B12)/(Assumptions!B26-Assumptions!B12)</f>
        <v>7778373032.307781</v>
      </c>
    </row>
    <row r="10" spans="1:2" x14ac:dyDescent="0.25">
      <c r="A10" t="s">
        <v>61</v>
      </c>
      <c r="B10" s="18">
        <f>B9/(1+Assumptions!B26)^(5-0.5*Assumptions!B32)</f>
        <v>5448545046.255333</v>
      </c>
    </row>
    <row r="11" spans="1:2" x14ac:dyDescent="0.25">
      <c r="A11" t="s">
        <v>62</v>
      </c>
      <c r="B11" s="18">
        <f>Forecast!B17+B10</f>
        <v>6943036186.24899</v>
      </c>
    </row>
    <row r="12" spans="1:2" x14ac:dyDescent="0.25">
      <c r="A12" t="s">
        <v>63</v>
      </c>
      <c r="B12" s="18">
        <f>-Assumptions!B30</f>
        <v>-3982000000</v>
      </c>
    </row>
    <row r="13" spans="1:2" x14ac:dyDescent="0.25">
      <c r="A13" t="s">
        <v>64</v>
      </c>
      <c r="B13" s="18">
        <f>B11+B12</f>
        <v>2961036186.24899</v>
      </c>
    </row>
    <row r="14" spans="1:2" x14ac:dyDescent="0.25">
      <c r="A14" s="19" t="s">
        <v>65</v>
      </c>
      <c r="B14" s="24">
        <f>B13/Assumptions!B31</f>
        <v>1.7156702679997637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1233038675.271646</v>
      </c>
    </row>
    <row r="18" spans="1:2" x14ac:dyDescent="0.25">
      <c r="A18" t="s">
        <v>60</v>
      </c>
      <c r="B18" s="18">
        <f>B17*Assumptions!B13</f>
        <v>15587342238.407629</v>
      </c>
    </row>
    <row r="19" spans="1:2" x14ac:dyDescent="0.25">
      <c r="A19" t="s">
        <v>61</v>
      </c>
      <c r="B19" s="18">
        <f>B18/(1+Assumptions!B26)^(5-0.5*Assumptions!B32)</f>
        <v>10918521904.851976</v>
      </c>
    </row>
    <row r="20" spans="1:2" x14ac:dyDescent="0.25">
      <c r="A20" t="s">
        <v>62</v>
      </c>
      <c r="B20" s="18">
        <f>Forecast!B17+B19</f>
        <v>12413013044.845634</v>
      </c>
    </row>
    <row r="21" spans="1:2" x14ac:dyDescent="0.25">
      <c r="A21" t="s">
        <v>63</v>
      </c>
      <c r="B21" s="18">
        <f>-Assumptions!B30</f>
        <v>-3982000000</v>
      </c>
    </row>
    <row r="22" spans="1:2" x14ac:dyDescent="0.25">
      <c r="A22" t="s">
        <v>64</v>
      </c>
      <c r="B22" s="18">
        <f>B20+B21</f>
        <v>8431013044.845634</v>
      </c>
    </row>
    <row r="23" spans="1:2" x14ac:dyDescent="0.25">
      <c r="A23" s="19" t="s">
        <v>65</v>
      </c>
      <c r="B23" s="25">
        <f>B22/Assumptions!B31</f>
        <v>4.8850596549053735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11.66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1.7156702679997637</v>
      </c>
    </row>
    <row r="29" spans="1:2" x14ac:dyDescent="0.25">
      <c r="A29" s="19" t="s">
        <v>73</v>
      </c>
      <c r="B29" s="12">
        <f>B28/B26-1</f>
        <v>-0.8528584675814954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0.062324</v>
      </c>
      <c r="B5" s="31">
        <v>3.087951806708982</v>
      </c>
      <c r="C5" s="31">
        <v>3.1100746490195985</v>
      </c>
      <c r="D5" s="31">
        <v>3.1321974913302126</v>
      </c>
      <c r="E5" s="31">
        <v>3.15432033364083</v>
      </c>
      <c r="F5" s="31">
        <v>3.176443175951445</v>
      </c>
    </row>
    <row r="6" spans="1:6" x14ac:dyDescent="0.25">
      <c r="A6" s="30">
        <v>0.072324</v>
      </c>
      <c r="B6" s="31">
        <v>2.2877002062170337</v>
      </c>
      <c r="C6" s="31">
        <v>2.3059771323481217</v>
      </c>
      <c r="D6" s="31">
        <v>2.3242540584792097</v>
      </c>
      <c r="E6" s="31">
        <v>2.3425309846102977</v>
      </c>
      <c r="F6" s="31">
        <v>2.360807910741387</v>
      </c>
    </row>
    <row r="7" spans="1:6" x14ac:dyDescent="0.25">
      <c r="A7" s="30">
        <v>0.082324</v>
      </c>
      <c r="B7" s="31">
        <v>1.6848828762551384</v>
      </c>
      <c r="C7" s="31">
        <v>1.7002827956675477</v>
      </c>
      <c r="D7" s="32">
        <v>1.7156827150799556</v>
      </c>
      <c r="E7" s="31">
        <v>1.7310826344923642</v>
      </c>
      <c r="F7" s="31">
        <v>1.7464825539047728</v>
      </c>
    </row>
    <row r="8" spans="1:6" x14ac:dyDescent="0.25">
      <c r="A8" s="30">
        <v>0.092324</v>
      </c>
      <c r="B8" s="31">
        <v>1.2151836265396307</v>
      </c>
      <c r="C8" s="31">
        <v>1.2283588035326716</v>
      </c>
      <c r="D8" s="31">
        <v>1.241533980525712</v>
      </c>
      <c r="E8" s="31">
        <v>1.2547091575187523</v>
      </c>
      <c r="F8" s="31">
        <v>1.2678843345117923</v>
      </c>
    </row>
    <row r="9" spans="1:6" x14ac:dyDescent="0.25">
      <c r="A9" s="30">
        <v>0.102324</v>
      </c>
      <c r="B9" s="31">
        <v>0.8394382672235047</v>
      </c>
      <c r="C9" s="31">
        <v>0.8508482113856058</v>
      </c>
      <c r="D9" s="31">
        <v>0.8622581555477075</v>
      </c>
      <c r="E9" s="31">
        <v>0.8736680997098092</v>
      </c>
      <c r="F9" s="31">
        <v>0.8850780438719098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15428000000</v>
      </c>
      <c r="C5" s="18">
        <v>17118000000</v>
      </c>
      <c r="D5" s="18">
        <v>15976000000</v>
      </c>
      <c r="E5" s="18">
        <v>16375000000</v>
      </c>
      <c r="F5" s="8" t="s">
        <v>84</v>
      </c>
    </row>
    <row r="6" spans="1:6" x14ac:dyDescent="0.25">
      <c r="A6" t="s">
        <v>44</v>
      </c>
      <c r="B6" s="18">
        <v>1325000000</v>
      </c>
      <c r="C6" s="18">
        <v>981000000</v>
      </c>
      <c r="D6" s="18">
        <v>943000000</v>
      </c>
      <c r="E6" s="18">
        <v>254000000</v>
      </c>
      <c r="F6" s="8" t="s">
        <v>85</v>
      </c>
    </row>
    <row r="7" spans="1:6" x14ac:dyDescent="0.25">
      <c r="A7" t="s">
        <v>86</v>
      </c>
      <c r="B7" s="18">
        <v>579000000</v>
      </c>
      <c r="C7" s="18">
        <v>565000000</v>
      </c>
      <c r="D7" s="18">
        <v>521000000</v>
      </c>
      <c r="E7" s="18">
        <v>527000000</v>
      </c>
      <c r="F7" s="8" t="s">
        <v>87</v>
      </c>
    </row>
    <row r="8" spans="1:6" x14ac:dyDescent="0.25">
      <c r="A8" t="s">
        <v>88</v>
      </c>
      <c r="B8" s="18">
        <v>969000000</v>
      </c>
      <c r="C8" s="18">
        <v>1473000000</v>
      </c>
      <c r="D8" s="18">
        <v>653000000</v>
      </c>
      <c r="E8" s="18">
        <v>475000000</v>
      </c>
      <c r="F8" s="8" t="s">
        <v>89</v>
      </c>
    </row>
    <row r="9" spans="1:6" x14ac:dyDescent="0.25">
      <c r="A9" t="s">
        <v>90</v>
      </c>
      <c r="B9" s="18">
        <v>742000000</v>
      </c>
      <c r="C9" s="18">
        <v>54000000</v>
      </c>
      <c r="D9" s="18">
        <v>-878000000</v>
      </c>
      <c r="E9" s="18">
        <v>0</v>
      </c>
      <c r="F9" s="8" t="s">
        <v>91</v>
      </c>
    </row>
    <row r="10" spans="1:6" x14ac:dyDescent="0.25">
      <c r="A10" t="s">
        <v>92</v>
      </c>
      <c r="B10" s="18">
        <v>4986000000</v>
      </c>
      <c r="C10" s="18">
        <v>4842000000</v>
      </c>
      <c r="D10" s="18">
        <v>3378000000</v>
      </c>
      <c r="E10" s="18">
        <v>3258000000</v>
      </c>
      <c r="F10" s="8" t="s">
        <v>93</v>
      </c>
    </row>
    <row r="11" spans="1:6" x14ac:dyDescent="0.25">
      <c r="A11" t="s">
        <v>94</v>
      </c>
      <c r="B11" s="18">
        <v>1004000000</v>
      </c>
      <c r="C11" s="18">
        <v>1015000000</v>
      </c>
      <c r="D11" s="18">
        <v>1379000000</v>
      </c>
      <c r="E11" s="18">
        <v>930000000</v>
      </c>
      <c r="F11" s="8" t="s">
        <v>95</v>
      </c>
    </row>
    <row r="12" spans="1:6" x14ac:dyDescent="0.25">
      <c r="A12" t="s">
        <v>32</v>
      </c>
      <c r="B12" s="34">
        <v>1725877193</v>
      </c>
      <c r="C12" s="34">
        <v>1724097788</v>
      </c>
      <c r="D12" s="34">
        <v>1728960396</v>
      </c>
      <c r="E12" s="34">
        <v>1732348112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2026-09-19T01:03:59Z</dcterms:modified>
</cp:coreProperties>
</file>