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<sst xmlns="http://schemas.openxmlformats.org/spreadsheetml/2006/main" count="116" uniqueCount="103">
  <si>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Orica Limited (ORI.AX)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</si>
  <si>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</si>
  <si>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</si>
  <si>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</si>
  <si>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</si>
  <si>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</si>
  <si>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</si>
  <si>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</si>
  <si>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</si>
  <si>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</si>
  <si>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</si>
  <si>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</si>
  <si>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</si>
  <si>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</si>
  <si>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</si>
  <si>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</si>
  <si>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</si>
  <si>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</si>
  <si>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</si>
  <si>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</si>
  <si>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</si>
  <si>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</si>
  <si>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</si>
  <si>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</si>
  <si>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</si>
  <si>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</si>
  <si>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</si>
  <si>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</si>
  <si>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</si>
  <si>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</si>
  <si>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2025-09-30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</si>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</sst>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0.04506334373434617</v>
      </c>
    </row>
    <row r="7" spans="1:2" x14ac:dyDescent="0.25">
      <c r="A7" t="s">
        <v>5</v>
      </c>
      <c r="B7" s="6">
        <v>0.09097942659373108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0.05518144791368111</v>
      </c>
    </row>
    <row r="10" spans="1:2" x14ac:dyDescent="0.25">
      <c r="A10" t="s">
        <v>8</v>
      </c>
      <c r="B10" s="6">
        <v>0.053570027794279676</v>
      </c>
    </row>
    <row r="11" spans="1:2" x14ac:dyDescent="0.25">
      <c r="A11" t="s">
        <v>9</v>
      </c>
      <c r="B11" s="6">
        <v>0.03591099361092752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0.07678543900683554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0.7742100000000001</v>
      </c>
      <c r="C19" s="8" t="s">
        <v>19</v>
      </c>
    </row>
    <row r="20" spans="1:2" x14ac:dyDescent="0.25">
      <c r="A20" t="s">
        <v>20</v>
      </c>
      <c r="B20" s="10">
        <f>B17+B19*B18</f>
        <v>0.09993260000000001</v>
      </c>
    </row>
    <row r="21" spans="1:3" x14ac:dyDescent="0.25">
      <c r="A21" t="s">
        <v>21</v>
      </c>
      <c r="B21" s="6">
        <v>0.06981794491295377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3004800000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0.04887256143906764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8144500000</v>
      </c>
      <c r="C29" s="8" t="s">
        <v>30</v>
      </c>
    </row>
    <row r="30" spans="1:2" x14ac:dyDescent="0.25">
      <c r="A30" t="s">
        <v>31</v>
      </c>
      <c r="B30" s="11">
        <v>2258100000</v>
      </c>
    </row>
    <row r="31" spans="1:2" x14ac:dyDescent="0.25">
      <c r="A31" t="s">
        <v>32</v>
      </c>
      <c r="B31" s="13">
        <v>488855422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0.04506334373434617</v>
      </c>
      <c r="C5" s="10">
        <f>Assumptions!B6</f>
        <v>0.04506334373434617</v>
      </c>
      <c r="D5" s="10">
        <f>Assumptions!B6</f>
        <v>0.04506334373434617</v>
      </c>
      <c r="E5" s="10">
        <f>Assumptions!B6</f>
        <v>0.04506334373434617</v>
      </c>
      <c r="F5" s="10">
        <f>Assumptions!B6</f>
        <v>0.04506334373434617</v>
      </c>
    </row>
    <row r="6" spans="1:6" x14ac:dyDescent="0.25">
      <c r="A6" t="s">
        <v>43</v>
      </c>
      <c r="B6" s="18">
        <f>Assumptions!B29*(1+B5)</f>
        <v>8511518403.044382</v>
      </c>
      <c r="C6" s="18">
        <f>B6*(1+C5)</f>
        <v>8895075882.541985</v>
      </c>
      <c r="D6" s="18">
        <f>C6*(1+D5)</f>
        <v>9295917744.580067</v>
      </c>
      <c r="E6" s="18">
        <f>D6*(1+E5)</f>
        <v>9714822881.230286</v>
      </c>
      <c r="F6" s="18">
        <f>E6*(1+F5)</f>
        <v>10152605284.045458</v>
      </c>
    </row>
    <row r="7" spans="1:6" x14ac:dyDescent="0.25">
      <c r="A7" t="s">
        <v>5</v>
      </c>
      <c r="B7" s="10">
        <f>Assumptions!B7</f>
        <v>0.09097942659373108</v>
      </c>
      <c r="C7" s="10">
        <f>Assumptions!B7</f>
        <v>0.09097942659373108</v>
      </c>
      <c r="D7" s="10">
        <f>Assumptions!B7</f>
        <v>0.09097942659373108</v>
      </c>
      <c r="E7" s="10">
        <f>Assumptions!B7</f>
        <v>0.09097942659373108</v>
      </c>
      <c r="F7" s="10">
        <f>Assumptions!B7</f>
        <v>0.09097942659373108</v>
      </c>
    </row>
    <row r="8" spans="1:6" x14ac:dyDescent="0.25">
      <c r="A8" t="s">
        <v>44</v>
      </c>
      <c r="B8" s="18">
        <f>B6*B7</f>
        <v>774373063.7509675</v>
      </c>
      <c r="C8" s="18">
        <f>C6*C7</f>
        <v>809268903.3013961</v>
      </c>
      <c r="D8" s="18">
        <f>D6*D7</f>
        <v>845737266.0643843</v>
      </c>
      <c r="E8" s="18">
        <f>E6*E7</f>
        <v>883849015.1939899</v>
      </c>
      <c r="F8" s="18">
        <f>F6*F7</f>
        <v>923678207.17494</v>
      </c>
    </row>
    <row r="9" spans="1:6" x14ac:dyDescent="0.25">
      <c r="A9" t="s">
        <v>45</v>
      </c>
      <c r="B9" s="18">
        <f>B8*(1-Assumptions!B8)</f>
        <v>542061144.6256772</v>
      </c>
      <c r="C9" s="18">
        <f>C8*(1-Assumptions!B8)</f>
        <v>566488232.3109772</v>
      </c>
      <c r="D9" s="18">
        <f>D8*(1-Assumptions!B8)</f>
        <v>592016086.245069</v>
      </c>
      <c r="E9" s="18">
        <f>E8*(1-Assumptions!B8)</f>
        <v>618694310.6357929</v>
      </c>
      <c r="F9" s="18">
        <f>F8*(1-Assumptions!B8)</f>
        <v>646574745.022458</v>
      </c>
    </row>
    <row r="10" spans="1:6" x14ac:dyDescent="0.25">
      <c r="A10" t="s">
        <v>46</v>
      </c>
      <c r="B10" s="18">
        <f>B6*Assumptions!B9</f>
        <v>469677909.4239318</v>
      </c>
      <c r="C10" s="18">
        <f>C6*Assumptions!B9</f>
        <v>490843166.5007316</v>
      </c>
      <c r="D10" s="18">
        <f>D6*Assumptions!B9</f>
        <v>512962200.83240896</v>
      </c>
      <c r="E10" s="18">
        <f>E6*Assumptions!B9</f>
        <v>536077992.81124645</v>
      </c>
      <c r="F10" s="18">
        <f>F6*Assumptions!B9</f>
        <v>560235459.669718</v>
      </c>
    </row>
    <row r="11" spans="1:6" x14ac:dyDescent="0.25">
      <c r="A11" t="s">
        <v>47</v>
      </c>
      <c r="B11" s="18">
        <f>-B6*Assumptions!B10</f>
        <v>-455962277.4226105</v>
      </c>
      <c r="C11" s="18">
        <f>-C6*Assumptions!B10</f>
        <v>-476509462.26000094</v>
      </c>
      <c r="D11" s="18">
        <f>-D6*Assumptions!B10</f>
        <v>-497982571.9504918</v>
      </c>
      <c r="E11" s="18">
        <f>-E6*Assumptions!B10</f>
        <v>-520423331.76401055</v>
      </c>
      <c r="F11" s="18">
        <f>-F6*Assumptions!B10</f>
        <v>-543875347.2506659</v>
      </c>
    </row>
    <row r="12" spans="1:6" x14ac:dyDescent="0.25">
      <c r="A12" t="s">
        <v>48</v>
      </c>
      <c r="B12" s="18">
        <f>-(B6-Assumptions!B29)*Assumptions!B11</f>
        <v>-13179995.526819626</v>
      </c>
      <c r="C12" s="18">
        <f>-(C6-B6)*Assumptions!B11</f>
        <v>-13773930.195661865</v>
      </c>
      <c r="D12" s="18">
        <f>-(D6-C6)*Assumptions!B11</f>
        <v>-14394629.546641856</v>
      </c>
      <c r="E12" s="18">
        <f>-(E6-D6)*Assumptions!B11</f>
        <v>-15043299.685830733</v>
      </c>
      <c r="F12" s="18">
        <f>-(F6-E6)*Assumptions!B11</f>
        <v>-15721201.070472145</v>
      </c>
    </row>
    <row r="13" spans="1:6" x14ac:dyDescent="0.25">
      <c r="A13" s="19" t="s">
        <v>49</v>
      </c>
      <c r="B13" s="20">
        <f>B9+B10+B11+B12</f>
        <v>542596781.1001788</v>
      </c>
      <c r="C13" s="20">
        <f>C9+C10+C11+C12</f>
        <v>567048006.356046</v>
      </c>
      <c r="D13" s="20">
        <f>D9+D10+D11+D12</f>
        <v>592601085.5803443</v>
      </c>
      <c r="E13" s="20">
        <f>E9+E10+E11+E12</f>
        <v>619305671.9971981</v>
      </c>
      <c r="F13" s="20">
        <f>F9+F10+F11+F12</f>
        <v>647213656.3710378</v>
      </c>
    </row>
    <row r="14" spans="1:6" x14ac:dyDescent="0.25">
      <c r="A14" t="s">
        <v>50</v>
      </c>
      <c r="B14" s="21">
        <f>1/(1+Assumptions!$B$26)^(1-0.5*Assumptions!$B$32)</f>
        <v>0.9764244321044129</v>
      </c>
      <c r="C14" s="21">
        <f>1/(1+Assumptions!$B$26)^(2-0.5*Assumptions!$B$32)</f>
        <v>0.9309276150429039</v>
      </c>
      <c r="D14" s="21">
        <f>1/(1+Assumptions!$B$26)^(3-0.5*Assumptions!$B$32)</f>
        <v>0.8875507371130562</v>
      </c>
      <c r="E14" s="21">
        <f>1/(1+Assumptions!$B$26)^(4-0.5*Assumptions!$B$32)</f>
        <v>0.8461950190548643</v>
      </c>
      <c r="F14" s="21">
        <f>1/(1+Assumptions!$B$26)^(5-0.5*Assumptions!$B$32)</f>
        <v>0.8067662842603804</v>
      </c>
    </row>
    <row r="15" spans="1:6" x14ac:dyDescent="0.25">
      <c r="A15" s="19" t="s">
        <v>51</v>
      </c>
      <c r="B15" s="20">
        <f>B13*B14</f>
        <v>529804753.84742457</v>
      </c>
      <c r="C15" s="20">
        <f>C13*C14</f>
        <v>527880648.17186725</v>
      </c>
      <c r="D15" s="20">
        <f>D13*D14</f>
        <v>525963530.3208319</v>
      </c>
      <c r="E15" s="20">
        <f>E13*E14</f>
        <v>524053374.91645455</v>
      </c>
      <c r="F15" s="20">
        <f>F13*F14</f>
        <v>522150156.6730369</v>
      </c>
    </row>
    <row r="17" spans="1:2" x14ac:dyDescent="0.25">
      <c r="A17" s="22" t="s">
        <v>52</v>
      </c>
      <c r="B17" s="23">
        <f>SUM(B15:F15)</f>
        <v>2629852463.929615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647213656.3710378</v>
      </c>
    </row>
    <row r="5" spans="1:2" x14ac:dyDescent="0.25">
      <c r="A5" t="s">
        <v>56</v>
      </c>
      <c r="B5" s="18">
        <f>IF(Assumptions!$B$33=0,B4,B4-Forecast!F11-Forecast!F10-Forecast!F12)</f>
        <v>646574745.022458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0.3255825625711988</v>
      </c>
    </row>
    <row r="7" spans="1:2" x14ac:dyDescent="0.25">
      <c r="A7" t="s">
        <v>58</v>
      </c>
      <c r="B7" s="18">
        <f>-MAX(Forecast!F9,0)*B6</f>
        <v>-210513462.37823132</v>
      </c>
    </row>
    <row r="8" spans="1:2" x14ac:dyDescent="0.25">
      <c r="A8" t="s">
        <v>59</v>
      </c>
      <c r="B8" s="18">
        <f>IF(OR(Assumptions!$B$33=0,Assumptions!B12&lt;=0),B5,MAX(B5+B7,0))</f>
        <v>436061282.6442267</v>
      </c>
    </row>
    <row r="9" spans="1:2" x14ac:dyDescent="0.25">
      <c r="A9" t="s">
        <v>60</v>
      </c>
      <c r="B9" s="18">
        <f>B8*(1+Assumptions!B12)/(Assumptions!B26-Assumptions!B12)</f>
        <v>18722867918.935337</v>
      </c>
    </row>
    <row r="10" spans="1:2" x14ac:dyDescent="0.25">
      <c r="A10" t="s">
        <v>61</v>
      </c>
      <c r="B10" s="18">
        <f>B9/(1+Assumptions!B26)^(5-0.5*Assumptions!B32)</f>
        <v>15104978581.657343</v>
      </c>
    </row>
    <row r="11" spans="1:2" x14ac:dyDescent="0.25">
      <c r="A11" t="s">
        <v>62</v>
      </c>
      <c r="B11" s="18">
        <f>Forecast!B17+B10</f>
        <v>17734831045.58696</v>
      </c>
    </row>
    <row r="12" spans="1:2" x14ac:dyDescent="0.25">
      <c r="A12" t="s">
        <v>63</v>
      </c>
      <c r="B12" s="18">
        <f>-Assumptions!B30</f>
        <v>-2258100000</v>
      </c>
    </row>
    <row r="13" spans="1:2" x14ac:dyDescent="0.25">
      <c r="A13" t="s">
        <v>64</v>
      </c>
      <c r="B13" s="18">
        <f>B11+B12</f>
        <v>15476731045.58696</v>
      </c>
    </row>
    <row r="14" spans="1:2" x14ac:dyDescent="0.25">
      <c r="A14" s="19" t="s">
        <v>65</v>
      </c>
      <c r="B14" s="24">
        <f>B13/Assumptions!B31</f>
        <v>31.65911709083378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1483913666.844658</v>
      </c>
    </row>
    <row r="18" spans="1:2" x14ac:dyDescent="0.25">
      <c r="A18" t="s">
        <v>60</v>
      </c>
      <c r="B18" s="18">
        <f>B17*Assumptions!B13</f>
        <v>11871309334.757263</v>
      </c>
    </row>
    <row r="19" spans="1:2" x14ac:dyDescent="0.25">
      <c r="A19" t="s">
        <v>61</v>
      </c>
      <c r="B19" s="18">
        <f>B18/(1+Assumptions!B26)^(5-0.5*Assumptions!B32)</f>
        <v>9577372121.307686</v>
      </c>
    </row>
    <row r="20" spans="1:2" x14ac:dyDescent="0.25">
      <c r="A20" t="s">
        <v>62</v>
      </c>
      <c r="B20" s="18">
        <f>Forecast!B17+B19</f>
        <v>12207224585.2373</v>
      </c>
    </row>
    <row r="21" spans="1:2" x14ac:dyDescent="0.25">
      <c r="A21" t="s">
        <v>63</v>
      </c>
      <c r="B21" s="18">
        <f>-Assumptions!B30</f>
        <v>-2258100000</v>
      </c>
    </row>
    <row r="22" spans="1:2" x14ac:dyDescent="0.25">
      <c r="A22" t="s">
        <v>64</v>
      </c>
      <c r="B22" s="18">
        <f>B20+B21</f>
        <v>9949124585.2373</v>
      </c>
    </row>
    <row r="23" spans="1:2" x14ac:dyDescent="0.25">
      <c r="A23" s="19" t="s">
        <v>65</v>
      </c>
      <c r="B23" s="25">
        <f>B22/Assumptions!B31</f>
        <v>20.351875293790442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31.65911709083378</v>
      </c>
    </row>
    <row r="29" spans="1:2" x14ac:dyDescent="0.25">
      <c r="A29" s="19" t="s">
        <v>73</v>
      </c>
      <c r="B29" s="12">
        <f>B28/B26-1</f>
        <v>0.40022631980689005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0.028873</v>
      </c>
      <c r="B5" s="31">
        <v>69.53058427374852</v>
      </c>
      <c r="C5" s="31">
        <v>99.95020260088177</v>
      </c>
      <c r="D5" s="31">
        <v>208.71696164067203</v>
      </c>
      <c r="E5" s="31" t="s">
        <v>76</v>
      </c>
      <c r="F5" s="31" t="s">
        <v>76</v>
      </c>
    </row>
    <row r="6" spans="1:6" x14ac:dyDescent="0.25">
      <c r="A6" s="30">
        <v>0.038873</v>
      </c>
      <c r="B6" s="31">
        <v>39.00400046777363</v>
      </c>
      <c r="C6" s="31">
        <v>45.41808214509503</v>
      </c>
      <c r="D6" s="31">
        <v>56.403300707295095</v>
      </c>
      <c r="E6" s="31">
        <v>79.68726274438626</v>
      </c>
      <c r="F6" s="31">
        <v>162.90259209405693</v>
      </c>
    </row>
    <row r="7" spans="1:6" x14ac:dyDescent="0.25">
      <c r="A7" s="30">
        <v>0.048873</v>
      </c>
      <c r="B7" s="31">
        <v>26.488380626440257</v>
      </c>
      <c r="C7" s="31">
        <v>28.637806480794673</v>
      </c>
      <c r="D7" s="32">
        <v>31.658485720597305</v>
      </c>
      <c r="E7" s="31">
        <v>36.24287851549386</v>
      </c>
      <c r="F7" s="31">
        <v>44.081729717095996</v>
      </c>
    </row>
    <row r="8" spans="1:6" x14ac:dyDescent="0.25">
      <c r="A8" s="30">
        <v>0.058873</v>
      </c>
      <c r="B8" s="31">
        <v>19.66859115612167</v>
      </c>
      <c r="C8" s="31">
        <v>20.47560139479714</v>
      </c>
      <c r="D8" s="31">
        <v>21.501202265092505</v>
      </c>
      <c r="E8" s="31">
        <v>22.85895520760273</v>
      </c>
      <c r="F8" s="31">
        <v>24.75755963518848</v>
      </c>
    </row>
    <row r="9" spans="1:6" x14ac:dyDescent="0.25">
      <c r="A9" s="30">
        <v>0.068873</v>
      </c>
      <c r="B9" s="31">
        <v>15.373289194511752</v>
      </c>
      <c r="C9" s="31">
        <v>15.642112035735709</v>
      </c>
      <c r="D9" s="31">
        <v>15.95766112863675</v>
      </c>
      <c r="E9" s="31">
        <v>16.337966822690266</v>
      </c>
      <c r="F9" s="31">
        <v>16.8117053206916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8144500000</v>
      </c>
      <c r="C5" s="18">
        <v>7690600000</v>
      </c>
      <c r="D5" s="18">
        <v>7970500000</v>
      </c>
      <c r="E5" s="18">
        <v>7135700000</v>
      </c>
      <c r="F5" s="8" t="s">
        <v>85</v>
      </c>
    </row>
    <row r="6" spans="1:6" x14ac:dyDescent="0.25">
      <c r="A6" t="s">
        <v>44</v>
      </c>
      <c r="B6" s="18">
        <v>894500000</v>
      </c>
      <c r="C6" s="18">
        <v>736500000</v>
      </c>
      <c r="D6" s="18">
        <v>691800000</v>
      </c>
      <c r="E6" s="18">
        <v>510400000</v>
      </c>
      <c r="F6" s="8" t="s">
        <v>86</v>
      </c>
    </row>
    <row r="7" spans="1:6" x14ac:dyDescent="0.25">
      <c r="A7" t="s">
        <v>87</v>
      </c>
      <c r="B7" s="18">
        <v>498900000</v>
      </c>
      <c r="C7" s="18">
        <v>431900000</v>
      </c>
      <c r="D7" s="18">
        <v>392500000</v>
      </c>
      <c r="E7" s="18">
        <v>385800000</v>
      </c>
      <c r="F7" s="8" t="s">
        <v>88</v>
      </c>
    </row>
    <row r="8" spans="1:6" x14ac:dyDescent="0.25">
      <c r="A8" t="s">
        <v>89</v>
      </c>
      <c r="B8" s="18">
        <v>414500000</v>
      </c>
      <c r="C8" s="18">
        <v>456400000</v>
      </c>
      <c r="D8" s="18">
        <v>439100000</v>
      </c>
      <c r="E8" s="18">
        <v>349300000</v>
      </c>
      <c r="F8" s="8" t="s">
        <v>90</v>
      </c>
    </row>
    <row r="9" spans="1:6" x14ac:dyDescent="0.25">
      <c r="A9" t="s">
        <v>91</v>
      </c>
      <c r="B9" s="18">
        <v>16300000</v>
      </c>
      <c r="C9" s="18">
        <v>-39100000</v>
      </c>
      <c r="D9" s="18">
        <v>-41200000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3004800000</v>
      </c>
      <c r="C10" s="18">
        <v>2521000000</v>
      </c>
      <c r="D10" s="18">
        <v>2372200000</v>
      </c>
      <c r="E10" s="18">
        <v>2407000000</v>
      </c>
      <c r="F10" s="8" t="s">
        <v>94</v>
      </c>
    </row>
    <row r="11" spans="1:6" x14ac:dyDescent="0.25">
      <c r="A11" t="s">
        <v>95</v>
      </c>
      <c r="B11" s="18">
        <v>746700000</v>
      </c>
      <c r="C11" s="18">
        <v>580700000</v>
      </c>
      <c r="D11" s="18">
        <v>1152100000</v>
      </c>
      <c r="E11" s="18">
        <v>1255300000</v>
      </c>
      <c r="F11" s="8" t="s">
        <v>96</v>
      </c>
    </row>
    <row r="12" spans="1:6" x14ac:dyDescent="0.25">
      <c r="A12" t="s">
        <v>32</v>
      </c>
      <c r="B12" s="34">
        <v>488855422</v>
      </c>
      <c r="C12" s="34">
        <v>479524680</v>
      </c>
      <c r="D12" s="34">
        <v>458449612</v>
      </c>
      <c r="E12" s="34">
        <v>417361111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