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<sst xmlns="http://schemas.openxmlformats.org/spreadsheetml/2006/main" count="120" uniqueCount="107">
  <si>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O'Reilly Automotive, Inc. (ORLY)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</si>
  <si>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</si>
  <si>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</si>
  <si>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</si>
  <si>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</si>
  <si>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</si>
  <si>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</si>
  <si>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</si>
  <si>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</si>
  <si>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</si>
  <si>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</si>
  <si>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</si>
  <si>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</si>
  <si>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</si>
  <si>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</si>
  <si>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</si>
  <si>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</si>
  <si>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</si>
  <si>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</si>
  <si>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</si>
  <si>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</si>
  <si>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</si>
  <si>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</si>
  <si>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</si>
  <si>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14.7x interest cover. Book interest / average debt was lower, at 2.9%.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</si>
  <si>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</si>
  <si>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</si>
  <si>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</si>
  <si>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</si>
  <si>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</si>
  <si>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</si>
  <si>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</si>
  <si>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</si>
  <si>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</si>
  <si>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</si>
  <si>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</si>
  <si>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</si>
  <si>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</si>
  <si>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</si>
  <si>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</si>
  <si>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</si>
  <si>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</si>
  <si>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</si>
  <si>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</si>
  <si>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</si>
  <si>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</si>
  <si>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</si>
  <si>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</si>
  <si>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</si>
  <si>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</si>
  <si>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</si>
  <si>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</si>
  <si>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</si>
  <si>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</si>
  <si>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</si>
  <si>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</si>
  <si>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</si>
  <si>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</si>
  <si>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</si>
  <si>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</si>
  <si>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</si>
  <si>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</si>
  <si>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</si>
  <si>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</si>
  <si>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</si>
  <si>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</si>
  <si>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</si>
  <si>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</si>
  <si>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</si>
  <si>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</si>
  <si>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</si>
  <si>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</si>
  <si>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</si>
  <si>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</si>
  <si>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</si>
  <si>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</si>
  <si>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</si>
  <si>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</si>
  <si>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</si>
  <si>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</si>
  <si>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</si>
  <si>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</si>
  <si>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</si>
  <si>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</si>
  <si>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</si>
  <si>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</si>
  <si>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</si>
  <si>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</si>
  <si>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</si>
  <si>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</si>
  <si>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</si>
  <si>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</si>
  <si>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</si>
  <si>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</si>
  <si>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</si>
  <si>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</si>
  <si>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</si>
  <si>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</si>
  <si>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</si>
  <si>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</si>
  <si>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</si>
  <si>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</si>
  <si>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</si>
  <si>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</si>
  <si>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</si>
  <si>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5.7% of revenue against depreciation of 2.7%.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</si>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</sst>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0.0825832403928648</v>
      </c>
    </row>
    <row r="7" spans="1:2" x14ac:dyDescent="0.25">
      <c r="A7" t="s">
        <v>4</v>
      </c>
      <c r="B7" s="5">
        <v>0.19893507112307762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0.02677584247206914</v>
      </c>
    </row>
    <row r="10" spans="1:3" x14ac:dyDescent="0.25">
      <c r="A10" t="s">
        <v>7</v>
      </c>
      <c r="B10" s="5">
        <v>0.05742807046769141</v>
      </c>
      <c r="C10" s="6" t="s">
        <v>8</v>
      </c>
    </row>
    <row r="11" spans="1:2" x14ac:dyDescent="0.25">
      <c r="A11" t="s">
        <v>9</v>
      </c>
      <c r="B11" s="5">
        <v>-0.06554860297818665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19.940299727934796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0.024443263154534465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0.6931400000000001</v>
      </c>
      <c r="C19" s="6" t="s">
        <v>21</v>
      </c>
    </row>
    <row r="20" spans="1:2" x14ac:dyDescent="0.25">
      <c r="A20" t="s">
        <v>22</v>
      </c>
      <c r="B20" s="9">
        <f>B17+B19*B18</f>
        <v>0.078259822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70902013952</v>
      </c>
    </row>
    <row r="23" spans="1:2" x14ac:dyDescent="0.25">
      <c r="A23" t="s">
        <v>26</v>
      </c>
      <c r="B23" s="10">
        <v>8491499000</v>
      </c>
    </row>
    <row r="24" spans="1:2" x14ac:dyDescent="0.25">
      <c r="A24" t="s">
        <v>27</v>
      </c>
      <c r="B24" s="9">
        <f>B22/(B22+B23)</f>
        <v>0.8930454304858154</v>
      </c>
    </row>
    <row r="25" spans="1:2" x14ac:dyDescent="0.25">
      <c r="A25" t="s">
        <v>28</v>
      </c>
      <c r="B25" s="9">
        <f>1-B24</f>
        <v>0.10695456951418458</v>
      </c>
    </row>
    <row r="26" spans="1:2" x14ac:dyDescent="0.25">
      <c r="A26" t="s">
        <v>29</v>
      </c>
      <c r="B26" s="11">
        <f>B24*B20+B25*B21*(1-B8)</f>
        <v>0.07436269460669723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17781992000</v>
      </c>
      <c r="C29" s="6" t="s">
        <v>32</v>
      </c>
    </row>
    <row r="30" spans="1:2" x14ac:dyDescent="0.25">
      <c r="A30" t="s">
        <v>33</v>
      </c>
      <c r="B30" s="10">
        <v>8297706000</v>
      </c>
    </row>
    <row r="31" spans="1:2" x14ac:dyDescent="0.25">
      <c r="A31" t="s">
        <v>34</v>
      </c>
      <c r="B31" s="12">
        <v>855919000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0.0825832403928648</v>
      </c>
      <c r="C5" s="5">
        <v>0.06213990429577976</v>
      </c>
      <c r="D5" s="5">
        <v>0.05749741625880729</v>
      </c>
      <c r="E5" s="5">
        <v>0.05285492822183482</v>
      </c>
      <c r="F5" s="5">
        <v>0.04821244018486235</v>
      </c>
      <c r="G5" s="5">
        <v>0.043569952147889876</v>
      </c>
      <c r="H5" s="5">
        <v>0.03892746411091741</v>
      </c>
      <c r="I5" s="5">
        <v>0.03428497607394494</v>
      </c>
      <c r="J5" s="5">
        <v>0.02964248803697247</v>
      </c>
      <c r="K5" s="5">
        <v>0.025</v>
      </c>
    </row>
    <row r="6" spans="1:11" x14ac:dyDescent="0.25">
      <c r="A6" t="s">
        <v>50</v>
      </c>
      <c r="B6" s="18">
        <f>Assumptions!B29*(1+B5)</f>
        <v>19250486520</v>
      </c>
      <c r="C6" s="18">
        <f>B6*(1+C5)</f>
        <v>20446709910</v>
      </c>
      <c r="D6" s="18">
        <f>C6*(1+D5)</f>
        <v>21622342900.81835</v>
      </c>
      <c r="E6" s="18">
        <f>D6*(1+E5)</f>
        <v>22765190282.829006</v>
      </c>
      <c r="F6" s="18">
        <f>E6*(1+F5)</f>
        <v>23862755657.636906</v>
      </c>
      <c r="G6" s="18">
        <f>F6*(1+G5)</f>
        <v>24902454779.75693</v>
      </c>
      <c r="H6" s="18">
        <f>G6*(1+H5)</f>
        <v>25871844194.46966</v>
      </c>
      <c r="I6" s="18">
        <f>H6*(1+I5)</f>
        <v>26758859753.665886</v>
      </c>
      <c r="J6" s="18">
        <f>I6*(1+J5)</f>
        <v>27552058933.796955</v>
      </c>
      <c r="K6" s="18">
        <f>J6*(1+K5)</f>
        <v>28240860407.141876</v>
      </c>
    </row>
    <row r="7" spans="1:11" x14ac:dyDescent="0.25">
      <c r="A7" t="s">
        <v>4</v>
      </c>
      <c r="B7" s="9">
        <f>Assumptions!B7</f>
        <v>0.19893507112307762</v>
      </c>
      <c r="C7" s="9">
        <f>Assumptions!B7</f>
        <v>0.19893507112307762</v>
      </c>
      <c r="D7" s="9">
        <f>Assumptions!B7</f>
        <v>0.19893507112307762</v>
      </c>
      <c r="E7" s="9">
        <f>Assumptions!B7</f>
        <v>0.19893507112307762</v>
      </c>
      <c r="F7" s="9">
        <f>Assumptions!B7</f>
        <v>0.19893507112307762</v>
      </c>
      <c r="G7" s="9">
        <f>Assumptions!B7</f>
        <v>0.19893507112307762</v>
      </c>
      <c r="H7" s="9">
        <f>Assumptions!B7</f>
        <v>0.19893507112307762</v>
      </c>
      <c r="I7" s="9">
        <f>Assumptions!B7</f>
        <v>0.19893507112307762</v>
      </c>
      <c r="J7" s="9">
        <f>Assumptions!B7</f>
        <v>0.19893507112307762</v>
      </c>
      <c r="K7" s="9">
        <f>Assumptions!B7</f>
        <v>0.19893507112307762</v>
      </c>
    </row>
    <row r="8" spans="1:11" x14ac:dyDescent="0.25">
      <c r="A8" t="s">
        <v>51</v>
      </c>
      <c r="B8" s="18">
        <f>B6*B7</f>
        <v>3829596905.010047</v>
      </c>
      <c r="C8" s="18">
        <f>C6*C7</f>
        <v>4067567690.1787863</v>
      </c>
      <c r="D8" s="18">
        <f>D6*D7</f>
        <v>4301442322.821872</v>
      </c>
      <c r="E8" s="18">
        <f>E6*E7</f>
        <v>4528794748.044984</v>
      </c>
      <c r="F8" s="18">
        <f>F6*F7</f>
        <v>4747138993.944621</v>
      </c>
      <c r="G8" s="18">
        <f>G6*G7</f>
        <v>4953971612.75017</v>
      </c>
      <c r="H8" s="18">
        <f>H6*H7</f>
        <v>5146817164.912005</v>
      </c>
      <c r="I8" s="18">
        <f>I6*I7</f>
        <v>5323275668.2679825</v>
      </c>
      <c r="J8" s="18">
        <f>J6*J7</f>
        <v>5481070803.582124</v>
      </c>
      <c r="K8" s="18">
        <f>K6*K7</f>
        <v>5618097573.671676</v>
      </c>
    </row>
    <row r="9" spans="1:11" x14ac:dyDescent="0.25">
      <c r="A9" t="s">
        <v>52</v>
      </c>
      <c r="B9" s="18">
        <f>B8*(1-Assumptions!B8)</f>
        <v>3025381554.9579372</v>
      </c>
      <c r="C9" s="18">
        <f>C8*(1-Assumptions!B8)</f>
        <v>3213378475.2412415</v>
      </c>
      <c r="D9" s="18">
        <f>D8*(1-Assumptions!B8)</f>
        <v>3398139435.0292788</v>
      </c>
      <c r="E9" s="18">
        <f>E8*(1-Assumptions!B8)</f>
        <v>3577747850.9555373</v>
      </c>
      <c r="F9" s="18">
        <f>F8*(1-Assumptions!B8)</f>
        <v>3750239805.216251</v>
      </c>
      <c r="G9" s="18">
        <f>G8*(1-Assumptions!B8)</f>
        <v>3913637574.072634</v>
      </c>
      <c r="H9" s="18">
        <f>H8*(1-Assumptions!B8)</f>
        <v>4065985560.2804847</v>
      </c>
      <c r="I9" s="18">
        <f>I8*(1-Assumptions!B8)</f>
        <v>4205387777.9317064</v>
      </c>
      <c r="J9" s="18">
        <f>J8*(1-Assumptions!B8)</f>
        <v>4330045934.829878</v>
      </c>
      <c r="K9" s="18">
        <f>K8*(1-Assumptions!B8)</f>
        <v>4438297083.2006235</v>
      </c>
    </row>
    <row r="10" spans="1:11" x14ac:dyDescent="0.25">
      <c r="A10" t="s">
        <v>53</v>
      </c>
      <c r="B10" s="18">
        <f>B6*Assumptions!B9</f>
        <v>515447994.5702104</v>
      </c>
      <c r="C10" s="18">
        <f>C6*Assumptions!B9</f>
        <v>547477883.622255</v>
      </c>
      <c r="D10" s="18">
        <f>D6*Assumptions!B9</f>
        <v>578956447.3893746</v>
      </c>
      <c r="E10" s="18">
        <f>E6*Assumptions!B9</f>
        <v>609557148.8597085</v>
      </c>
      <c r="F10" s="18">
        <f>F6*Assumptions!B9</f>
        <v>638945386.4383624</v>
      </c>
      <c r="G10" s="18">
        <f>G6*Assumptions!B9</f>
        <v>666784206.3505968</v>
      </c>
      <c r="H10" s="18">
        <f>H6*Assumptions!B9</f>
        <v>692740424.6130362</v>
      </c>
      <c r="I10" s="18">
        <f>I6*Assumptions!B9</f>
        <v>716491013.4963485</v>
      </c>
      <c r="J10" s="18">
        <f>J6*Assumptions!B9</f>
        <v>737729589.7925124</v>
      </c>
      <c r="K10" s="18">
        <f>K6*Assumptions!B9</f>
        <v>756172829.5373251</v>
      </c>
    </row>
    <row r="11" spans="1:11" x14ac:dyDescent="0.25">
      <c r="A11" t="s">
        <v>54</v>
      </c>
      <c r="B11" s="18">
        <f>-B6*B19</f>
        <v>-1105518296.4079037</v>
      </c>
      <c r="C11" s="18">
        <f>-C6*C19</f>
        <v>-1114329530.5067396</v>
      </c>
      <c r="D11" s="18">
        <f>-D6*D19</f>
        <v>-1115071766.9587507</v>
      </c>
      <c r="E11" s="18">
        <f>-E6*E19</f>
        <v>-1107332731.858971</v>
      </c>
      <c r="F11" s="18">
        <f>-F6*F19</f>
        <v>-1090829255.4579246</v>
      </c>
      <c r="G11" s="18">
        <f>-G6*G19</f>
        <v>-1065420810.4220856</v>
      </c>
      <c r="H11" s="18">
        <f>-H6*H19</f>
        <v>-1031119910.6335516</v>
      </c>
      <c r="I11" s="18">
        <f>-I6*I19</f>
        <v>-988098856.8540571</v>
      </c>
      <c r="J11" s="18">
        <f>-J6*J19</f>
        <v>-936692420.1716459</v>
      </c>
      <c r="K11" s="18">
        <f>-K6*K19</f>
        <v>-877396181.8192314</v>
      </c>
    </row>
    <row r="12" spans="1:11" x14ac:dyDescent="0.25">
      <c r="A12" t="s">
        <v>55</v>
      </c>
      <c r="B12" s="18">
        <f>-(B6-Assumptions!B29)*Assumptions!B11</f>
        <v>96257764.26712278</v>
      </c>
      <c r="C12" s="18">
        <f>-(C6-B6)*Assumptions!B11</f>
        <v>78410772.06433053</v>
      </c>
      <c r="D12" s="18">
        <f>-(D6-C6)*Assumptions!B11</f>
        <v>77061100.16321029</v>
      </c>
      <c r="E12" s="18">
        <f>-(E6-D6)*Assumptions!B11</f>
        <v>74912049.30807641</v>
      </c>
      <c r="F12" s="18">
        <f>-(F6-E6)*Assumptions!B11</f>
        <v>71943876.99588764</v>
      </c>
      <c r="G12" s="18">
        <f>-(G6-F6)*Assumptions!B11</f>
        <v>68150824.97261477</v>
      </c>
      <c r="H12" s="18">
        <f>-(H6-G6)*Assumptions!B11</f>
        <v>63542121.876261495</v>
      </c>
      <c r="I12" s="18">
        <f>-(I6-H6)*Assumptions!B11</f>
        <v>58142630.72522752</v>
      </c>
      <c r="J12" s="18">
        <f>-(J6-I6)*Assumptions!B11</f>
        <v>51993098.14103461</v>
      </c>
      <c r="K12" s="18">
        <f>-(K6-J6)*Assumptions!B11</f>
        <v>45149974.30707625</v>
      </c>
    </row>
    <row r="13" spans="1:11" x14ac:dyDescent="0.25">
      <c r="A13" s="19" t="s">
        <v>56</v>
      </c>
      <c r="B13" s="20">
        <f>B9+B10+B11+B12</f>
        <v>2531569017.387367</v>
      </c>
      <c r="C13" s="20">
        <f>C9+C10+C11+C12</f>
        <v>2724937600.4210873</v>
      </c>
      <c r="D13" s="20">
        <f>D9+D10+D11+D12</f>
        <v>2939085215.623113</v>
      </c>
      <c r="E13" s="20">
        <f>E9+E10+E11+E12</f>
        <v>3154884317.264351</v>
      </c>
      <c r="F13" s="20">
        <f>F9+F10+F11+F12</f>
        <v>3370299813.1925764</v>
      </c>
      <c r="G13" s="20">
        <f>G9+G10+G11+G12</f>
        <v>3583151794.97376</v>
      </c>
      <c r="H13" s="20">
        <f>H9+H10+H11+H12</f>
        <v>3791148196.1362305</v>
      </c>
      <c r="I13" s="20">
        <f>I9+I10+I11+I12</f>
        <v>3991922565.299225</v>
      </c>
      <c r="J13" s="20">
        <f>J9+J10+J11+J12</f>
        <v>4183076202.591779</v>
      </c>
      <c r="K13" s="20">
        <f>K9+K10+K11+K12</f>
        <v>4362223705.225794</v>
      </c>
    </row>
    <row r="14" spans="1:11" x14ac:dyDescent="0.25">
      <c r="A14" t="s">
        <v>57</v>
      </c>
      <c r="B14" s="21">
        <f>1/(1+Assumptions!$B$26)^(1-0.5*Assumptions!$B$32)</f>
        <v>0.9647716654294695</v>
      </c>
      <c r="C14" s="21">
        <f>1/(1+Assumptions!$B$26)^(2-0.5*Assumptions!$B$32)</f>
        <v>0.8979943833424456</v>
      </c>
      <c r="D14" s="21">
        <f>1/(1+Assumptions!$B$26)^(3-0.5*Assumptions!$B$32)</f>
        <v>0.8358391331441226</v>
      </c>
      <c r="E14" s="21">
        <f>1/(1+Assumptions!$B$26)^(4-0.5*Assumptions!$B$32)</f>
        <v>0.7779859979688765</v>
      </c>
      <c r="F14" s="21">
        <f>1/(1+Assumptions!$B$26)^(5-0.5*Assumptions!$B$32)</f>
        <v>0.7241372041996316</v>
      </c>
      <c r="G14" s="21">
        <f>1/(1+Assumptions!$B$26)^(6-0.5*Assumptions!$B$32)</f>
        <v>0.6740155888088833</v>
      </c>
      <c r="H14" s="21">
        <f>1/(1+Assumptions!$B$26)^(7-0.5*Assumptions!$B$32)</f>
        <v>0.6273631727836817</v>
      </c>
      <c r="I14" s="21">
        <f>1/(1+Assumptions!$B$26)^(8-0.5*Assumptions!$B$32)</f>
        <v>0.5839398332919098</v>
      </c>
      <c r="J14" s="21">
        <f>1/(1+Assumptions!$B$26)^(9-0.5*Assumptions!$B$32)</f>
        <v>0.5435220677554133</v>
      </c>
      <c r="K14" s="21">
        <f>1/(1+Assumptions!$B$26)^(10-0.5*Assumptions!$B$32)</f>
        <v>0.5059018434685931</v>
      </c>
    </row>
    <row r="15" spans="1:11" x14ac:dyDescent="0.25">
      <c r="A15" s="19" t="s">
        <v>58</v>
      </c>
      <c r="B15" s="20">
        <f>B13*B14</f>
        <v>2442386057.0544553</v>
      </c>
      <c r="C15" s="20">
        <f>C13*C14</f>
        <v>2446978660.136778</v>
      </c>
      <c r="D15" s="20">
        <f>D13*D14</f>
        <v>2456602438.8631296</v>
      </c>
      <c r="E15" s="20">
        <f>E13*E14</f>
        <v>2454455824.0432634</v>
      </c>
      <c r="F15" s="20">
        <f>F13*F14</f>
        <v>2440559484.039813</v>
      </c>
      <c r="G15" s="20">
        <f>G13*G14</f>
        <v>2415100166.880846</v>
      </c>
      <c r="H15" s="20">
        <f>H13*H14</f>
        <v>2378426760.821157</v>
      </c>
      <c r="I15" s="20">
        <f>I13*I14</f>
        <v>2331042597.295042</v>
      </c>
      <c r="J15" s="20">
        <f>J13*J14</f>
        <v>2273594227.2111464</v>
      </c>
      <c r="K15" s="20">
        <f>K13*K14</f>
        <v>2206857014.096126</v>
      </c>
    </row>
    <row r="17" spans="1:2" x14ac:dyDescent="0.25">
      <c r="A17" s="22" t="s">
        <v>59</v>
      </c>
      <c r="B17" s="23">
        <f>SUM(B15:K15)</f>
        <v>23846003230.441757</v>
      </c>
    </row>
    <row r="19" spans="1:11" x14ac:dyDescent="0.25">
      <c r="A19" t="s">
        <v>7</v>
      </c>
      <c r="B19" s="9">
        <f>Assumptions!$B$10+($B$20-Assumptions!$B$10)*0/9</f>
        <v>0.05742807046769141</v>
      </c>
      <c r="C19" s="9">
        <f>Assumptions!$B$10+($B$20-Assumptions!$B$10)*1/9</f>
        <v>0.05449920967293362</v>
      </c>
      <c r="D19" s="9">
        <f>Assumptions!$B$10+($B$20-Assumptions!$B$10)*2/9</f>
        <v>0.051570348878175826</v>
      </c>
      <c r="E19" s="9">
        <f>Assumptions!$B$10+($B$20-Assumptions!$B$10)*3/9</f>
        <v>0.04864148808341803</v>
      </c>
      <c r="F19" s="9">
        <f>Assumptions!$B$10+($B$20-Assumptions!$B$10)*4/9</f>
        <v>0.04571262728866025</v>
      </c>
      <c r="G19" s="9">
        <f>Assumptions!$B$10+($B$20-Assumptions!$B$10)*5/9</f>
        <v>0.042783766493902455</v>
      </c>
      <c r="H19" s="9">
        <f>Assumptions!$B$10+($B$20-Assumptions!$B$10)*6/9</f>
        <v>0.03985490569914466</v>
      </c>
      <c r="I19" s="9">
        <f>Assumptions!$B$10+($B$20-Assumptions!$B$10)*7/9</f>
        <v>0.03692604490438687</v>
      </c>
      <c r="J19" s="9">
        <f>Assumptions!$B$10+($B$20-Assumptions!$B$10)*8/9</f>
        <v>0.03399718410962908</v>
      </c>
      <c r="K19" s="9">
        <f>Assumptions!$B$10+($B$20-Assumptions!$B$10)*9/9</f>
        <v>0.031068323314871287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0.031068323314871287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4362223705.225794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4490337580.24774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-187097399.17698917</v>
      </c>
    </row>
    <row r="8" spans="1:2" x14ac:dyDescent="0.25">
      <c r="A8" t="s">
        <v>67</v>
      </c>
      <c r="B8" s="18">
        <f>IF(OR(Assumptions!$B$33=0,Assumptions!B12&lt;=0),B5,MAX(B5+B7,0))</f>
        <v>4303240181.07075</v>
      </c>
    </row>
    <row r="9" spans="1:2" x14ac:dyDescent="0.25">
      <c r="A9" t="s">
        <v>68</v>
      </c>
      <c r="B9" s="18">
        <f>B8*(1+Assumptions!B12)/(Assumptions!B26-Assumptions!B12)</f>
        <v>89355356727.2052</v>
      </c>
    </row>
    <row r="10" spans="1:2" x14ac:dyDescent="0.25">
      <c r="A10" t="s">
        <v>69</v>
      </c>
      <c r="B10" s="18">
        <f>B9/(1+Assumptions!B26)^(10-0.5*Assumptions!B32)</f>
        <v>45205039692.08687</v>
      </c>
    </row>
    <row r="11" spans="1:2" x14ac:dyDescent="0.25">
      <c r="A11" t="s">
        <v>70</v>
      </c>
      <c r="B11" s="18">
        <f>Forecast!B17+B10</f>
        <v>69051042922.52863</v>
      </c>
    </row>
    <row r="12" spans="1:2" x14ac:dyDescent="0.25">
      <c r="A12" t="s">
        <v>71</v>
      </c>
      <c r="B12" s="18">
        <f>-Assumptions!B30</f>
        <v>-8297706000</v>
      </c>
    </row>
    <row r="13" spans="1:2" x14ac:dyDescent="0.25">
      <c r="A13" t="s">
        <v>72</v>
      </c>
      <c r="B13" s="18">
        <f>B11+B12</f>
        <v>60753336922.528625</v>
      </c>
    </row>
    <row r="14" spans="1:2" x14ac:dyDescent="0.25">
      <c r="A14" s="19" t="s">
        <v>73</v>
      </c>
      <c r="B14" s="24">
        <f>B13/Assumptions!B31</f>
        <v>70.98024103043468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6374270403.209001</v>
      </c>
    </row>
    <row r="18" spans="1:2" x14ac:dyDescent="0.25">
      <c r="A18" t="s">
        <v>68</v>
      </c>
      <c r="B18" s="18">
        <f>B17*Assumptions!B13</f>
        <v>127104862386.89127</v>
      </c>
    </row>
    <row r="19" spans="1:2" x14ac:dyDescent="0.25">
      <c r="A19" t="s">
        <v>69</v>
      </c>
      <c r="B19" s="18">
        <f>B18/(1+Assumptions!B26)^(10-0.5*Assumptions!B32)</f>
        <v>64302584195.350136</v>
      </c>
    </row>
    <row r="20" spans="1:2" x14ac:dyDescent="0.25">
      <c r="A20" t="s">
        <v>70</v>
      </c>
      <c r="B20" s="18">
        <f>Forecast!B17+B19</f>
        <v>88148587425.7919</v>
      </c>
    </row>
    <row r="21" spans="1:2" x14ac:dyDescent="0.25">
      <c r="A21" t="s">
        <v>71</v>
      </c>
      <c r="B21" s="18">
        <f>-Assumptions!B30</f>
        <v>-8297706000</v>
      </c>
    </row>
    <row r="22" spans="1:2" x14ac:dyDescent="0.25">
      <c r="A22" t="s">
        <v>72</v>
      </c>
      <c r="B22" s="18">
        <f>B20+B21</f>
        <v>79850881425.7919</v>
      </c>
    </row>
    <row r="23" spans="1:2" x14ac:dyDescent="0.25">
      <c r="A23" s="19" t="s">
        <v>73</v>
      </c>
      <c r="B23" s="25">
        <f>B22/Assumptions!B31</f>
        <v>93.29256790162609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88.12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70.98024103043468</v>
      </c>
    </row>
    <row r="29" spans="1:2" x14ac:dyDescent="0.25">
      <c r="A29" s="19" t="s">
        <v>81</v>
      </c>
      <c r="B29" s="11">
        <f>B28/B26-1</f>
        <v>-0.1945047545343318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0.054363</v>
      </c>
      <c r="B5" s="31">
        <v>100.94938110065104</v>
      </c>
      <c r="C5" s="31">
        <v>112.081505039436</v>
      </c>
      <c r="D5" s="31">
        <v>127.04340052607358</v>
      </c>
      <c r="E5" s="31">
        <v>148.19301088518688</v>
      </c>
      <c r="F5" s="31">
        <v>180.32379390157857</v>
      </c>
    </row>
    <row r="6" spans="1:6" x14ac:dyDescent="0.25">
      <c r="A6" s="30">
        <v>0.064363</v>
      </c>
      <c r="B6" s="31">
        <v>77.89929765057597</v>
      </c>
      <c r="C6" s="31">
        <v>84.08528741942465</v>
      </c>
      <c r="D6" s="31">
        <v>91.86995876001481</v>
      </c>
      <c r="E6" s="31">
        <v>101.95116178951106</v>
      </c>
      <c r="F6" s="31">
        <v>115.50207279554034</v>
      </c>
    </row>
    <row r="7" spans="1:6" x14ac:dyDescent="0.25">
      <c r="A7" s="30">
        <v>0.074363</v>
      </c>
      <c r="B7" s="31">
        <v>62.657040924803894</v>
      </c>
      <c r="C7" s="31">
        <v>66.42635951714381</v>
      </c>
      <c r="D7" s="32">
        <v>70.97973276515779</v>
      </c>
      <c r="E7" s="31">
        <v>76.58226491867373</v>
      </c>
      <c r="F7" s="31">
        <v>83.63375740498442</v>
      </c>
    </row>
    <row r="8" spans="1:6" x14ac:dyDescent="0.25">
      <c r="A8" s="30">
        <v>0.084363</v>
      </c>
      <c r="B8" s="31">
        <v>51.843105480312744</v>
      </c>
      <c r="C8" s="31">
        <v>54.28422526024823</v>
      </c>
      <c r="D8" s="31">
        <v>57.15265625968098</v>
      </c>
      <c r="E8" s="31">
        <v>60.56630345612259</v>
      </c>
      <c r="F8" s="31">
        <v>64.69084241538413</v>
      </c>
    </row>
    <row r="9" spans="1:6" x14ac:dyDescent="0.25">
      <c r="A9" s="30">
        <v>0.094363</v>
      </c>
      <c r="B9" s="31">
        <v>43.78148321738081</v>
      </c>
      <c r="C9" s="31">
        <v>45.431495234941785</v>
      </c>
      <c r="D9" s="31">
        <v>47.33242372147707</v>
      </c>
      <c r="E9" s="31">
        <v>49.54274555088344</v>
      </c>
      <c r="F9" s="31">
        <v>52.14063905213792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17781992000</v>
      </c>
      <c r="C5" s="18">
        <v>16708479000</v>
      </c>
      <c r="D5" s="18">
        <v>15812250000</v>
      </c>
      <c r="E5" s="18">
        <v>14409860000</v>
      </c>
      <c r="F5" s="6" t="s">
        <v>91</v>
      </c>
    </row>
    <row r="6" spans="1:6" x14ac:dyDescent="0.25">
      <c r="A6" t="s">
        <v>51</v>
      </c>
      <c r="B6" s="18">
        <v>3460612000</v>
      </c>
      <c r="C6" s="18">
        <v>3251157000</v>
      </c>
      <c r="D6" s="18">
        <v>3186376000</v>
      </c>
      <c r="E6" s="18">
        <v>2954491000</v>
      </c>
      <c r="F6" s="6" t="s">
        <v>92</v>
      </c>
    </row>
    <row r="7" spans="1:6" x14ac:dyDescent="0.25">
      <c r="A7" t="s">
        <v>93</v>
      </c>
      <c r="B7" s="18">
        <v>511230000</v>
      </c>
      <c r="C7" s="18">
        <v>461892000</v>
      </c>
      <c r="D7" s="18">
        <v>409061000</v>
      </c>
      <c r="E7" s="18">
        <v>357933000</v>
      </c>
      <c r="F7" s="6" t="s">
        <v>94</v>
      </c>
    </row>
    <row r="8" spans="1:6" x14ac:dyDescent="0.25">
      <c r="A8" t="s">
        <v>95</v>
      </c>
      <c r="B8" s="18">
        <v>1168815000</v>
      </c>
      <c r="C8" s="18">
        <v>1023387000</v>
      </c>
      <c r="D8" s="18">
        <v>1006264000</v>
      </c>
      <c r="E8" s="18">
        <v>563342000</v>
      </c>
      <c r="F8" s="6" t="s">
        <v>96</v>
      </c>
    </row>
    <row r="9" spans="1:6" x14ac:dyDescent="0.25">
      <c r="A9" t="s">
        <v>97</v>
      </c>
      <c r="B9" s="18">
        <v>303465000</v>
      </c>
      <c r="C9" s="18">
        <v>-209338000</v>
      </c>
      <c r="D9" s="18">
        <v>-195629000</v>
      </c>
      <c r="E9" s="18">
        <v>-516045000</v>
      </c>
      <c r="F9" s="6" t="s">
        <v>98</v>
      </c>
    </row>
    <row r="10" spans="1:6" x14ac:dyDescent="0.25">
      <c r="A10" t="s">
        <v>99</v>
      </c>
      <c r="B10" s="18">
        <v>8491499000</v>
      </c>
      <c r="C10" s="18">
        <v>7920850000</v>
      </c>
      <c r="D10" s="18">
        <v>7841005000</v>
      </c>
      <c r="E10" s="18">
        <v>6545030000</v>
      </c>
      <c r="F10" s="6" t="s">
        <v>100</v>
      </c>
    </row>
    <row r="11" spans="1:6" x14ac:dyDescent="0.25">
      <c r="A11" t="s">
        <v>101</v>
      </c>
      <c r="B11" s="18">
        <v>193793000</v>
      </c>
      <c r="C11" s="18">
        <v>130245000</v>
      </c>
      <c r="D11" s="18">
        <v>279132000</v>
      </c>
      <c r="E11" s="18">
        <v>108583000</v>
      </c>
      <c r="F11" s="6" t="s">
        <v>102</v>
      </c>
    </row>
    <row r="12" spans="1:6" x14ac:dyDescent="0.25">
      <c r="A12" t="s">
        <v>34</v>
      </c>
      <c r="B12" s="34">
        <v>855919000</v>
      </c>
      <c r="C12" s="34">
        <v>880575000</v>
      </c>
      <c r="D12" s="34">
        <v>914970000</v>
      </c>
      <c r="E12" s="34">
        <v>974430000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