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<sst xmlns="http://schemas.openxmlformats.org/spreadsheetml/2006/main" count="112" uniqueCount="100">
  <si>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O'Reilly Automotive, Inc. (ORLY)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</si>
  <si>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</si>
  <si>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</si>
  <si>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</si>
  <si>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</si>
  <si>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</si>
  <si>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</si>
  <si>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</si>
  <si>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</si>
  <si>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</si>
  <si>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</si>
  <si>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</si>
  <si>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</si>
  <si>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</si>
  <si>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</si>
  <si>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</si>
  <si>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</si>
  <si>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</si>
  <si>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</si>
  <si>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</si>
  <si>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</si>
  <si>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</si>
  <si>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</si>
  <si>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</si>
  <si>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</si>
  <si>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</si>
  <si>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</si>
  <si>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</si>
  <si>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</si>
  <si>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</si>
  <si>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</si>
  <si>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</si>
  <si>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</si>
  <si>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</si>
  <si>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</si>
  <si>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</si>
  <si>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</si>
  <si>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</si>
  <si>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</si>
  <si>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</si>
  <si>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</si>
  <si>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</si>
  <si>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</si>
  <si>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</si>
  <si>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</si>
  <si>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</si>
  <si>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</si>
  <si>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</si>
  <si>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</si>
  <si>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</si>
  <si>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</si>
  <si>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</si>
  <si>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</si>
  <si>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</si>
  <si>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</si>
  <si>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</si>
  <si>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</si>
  <si>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</si>
  <si>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</si>
  <si>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</si>
  <si>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</si>
  <si>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</si>
  <si>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</si>
  <si>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</si>
  <si>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</si>
  <si>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</si>
  <si>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</si>
  <si>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</si>
  <si>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</si>
  <si>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</si>
  <si>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</si>
  <si>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</si>
  <si>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</si>
  <si>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</si>
  <si>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</si>
  <si>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</si>
  <si>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</si>
  <si>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</si>
  <si>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</si>
  <si>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</si>
  <si>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</si>
  <si>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</si>
  <si>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</si>
  <si>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</si>
  <si>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</si>
  <si>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</si>
  <si>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</si>
  <si>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</si>
  <si>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</si>
  <si>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</si>
  <si>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</si>
  <si>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</si>
  <si>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</si>
  <si>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</si>
  <si>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</si>
  <si>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</si>
  <si>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</si>
  <si>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</si>
  <si>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5.7% of revenue against depreciation of 2.7%.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</si>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</sst>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0.07260598606028323</v>
      </c>
    </row>
    <row r="7" spans="1:2" x14ac:dyDescent="0.25">
      <c r="A7" t="s">
        <v>5</v>
      </c>
      <c r="B7" s="6">
        <v>0.19893507112307762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0.02677584247206914</v>
      </c>
    </row>
    <row r="10" spans="1:2" x14ac:dyDescent="0.25">
      <c r="A10" t="s">
        <v>8</v>
      </c>
      <c r="B10" s="6">
        <v>0.05742807046769141</v>
      </c>
    </row>
    <row r="11" spans="1:2" x14ac:dyDescent="0.25">
      <c r="A11" t="s">
        <v>9</v>
      </c>
      <c r="B11" s="6">
        <v>-0.1394968589336775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19.34235378345866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0.6750499999999999</v>
      </c>
      <c r="C19" s="8" t="s">
        <v>19</v>
      </c>
    </row>
    <row r="20" spans="1:2" x14ac:dyDescent="0.25">
      <c r="A20" t="s">
        <v>20</v>
      </c>
      <c r="B20" s="10">
        <f>B17+B19*B18</f>
        <v>0.08710775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68527067136</v>
      </c>
    </row>
    <row r="23" spans="1:2" x14ac:dyDescent="0.25">
      <c r="A23" t="s">
        <v>24</v>
      </c>
      <c r="B23" s="11">
        <v>8491499000</v>
      </c>
    </row>
    <row r="24" spans="1:2" x14ac:dyDescent="0.25">
      <c r="A24" t="s">
        <v>25</v>
      </c>
      <c r="B24" s="10">
        <f>B22/(B22+B23)</f>
        <v>0.8897473761715371</v>
      </c>
    </row>
    <row r="25" spans="1:2" x14ac:dyDescent="0.25">
      <c r="A25" t="s">
        <v>26</v>
      </c>
      <c r="B25" s="10">
        <f>1-B24</f>
        <v>0.1102526238284629</v>
      </c>
    </row>
    <row r="26" spans="1:2" x14ac:dyDescent="0.25">
      <c r="A26" t="s">
        <v>27</v>
      </c>
      <c r="B26" s="12">
        <f>B24*B20+B25*B21*(1-B8)</f>
        <v>0.081857128656474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17781992000</v>
      </c>
      <c r="C29" s="8" t="s">
        <v>30</v>
      </c>
    </row>
    <row r="30" spans="1:2" x14ac:dyDescent="0.25">
      <c r="A30" t="s">
        <v>31</v>
      </c>
      <c r="B30" s="11">
        <v>8297706000</v>
      </c>
    </row>
    <row r="31" spans="1:2" x14ac:dyDescent="0.25">
      <c r="A31" t="s">
        <v>32</v>
      </c>
      <c r="B31" s="13">
        <v>855919000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0.07260598606028323</v>
      </c>
      <c r="C5" s="10">
        <f>Assumptions!B6</f>
        <v>0.07260598606028323</v>
      </c>
      <c r="D5" s="10">
        <f>Assumptions!B6</f>
        <v>0.07260598606028323</v>
      </c>
      <c r="E5" s="10">
        <f>Assumptions!B6</f>
        <v>0.07260598606028323</v>
      </c>
      <c r="F5" s="10">
        <f>Assumptions!B6</f>
        <v>0.07260598606028323</v>
      </c>
    </row>
    <row r="6" spans="1:6" x14ac:dyDescent="0.25">
      <c r="A6" t="s">
        <v>43</v>
      </c>
      <c r="B6" s="18">
        <f>Assumptions!B29*(1+B5)</f>
        <v>19073071063.27607</v>
      </c>
      <c r="C6" s="18">
        <f>B6*(1+C5)</f>
        <v>20457890195.023083</v>
      </c>
      <c r="D6" s="18">
        <f>C6*(1+D5)</f>
        <v>21943255485.345734</v>
      </c>
      <c r="E6" s="18">
        <f>D6*(1+E5)</f>
        <v>23536467187.23198</v>
      </c>
      <c r="F6" s="18">
        <f>E6*(1+F5)</f>
        <v>25245355595.736458</v>
      </c>
    </row>
    <row r="7" spans="1:6" x14ac:dyDescent="0.25">
      <c r="A7" t="s">
        <v>5</v>
      </c>
      <c r="B7" s="10">
        <f>Assumptions!B7</f>
        <v>0.19893507112307762</v>
      </c>
      <c r="C7" s="10">
        <f>Assumptions!B7</f>
        <v>0.19893507112307762</v>
      </c>
      <c r="D7" s="10">
        <f>Assumptions!B7</f>
        <v>0.19893507112307762</v>
      </c>
      <c r="E7" s="10">
        <f>Assumptions!B7</f>
        <v>0.19893507112307762</v>
      </c>
      <c r="F7" s="10">
        <f>Assumptions!B7</f>
        <v>0.19893507112307762</v>
      </c>
    </row>
    <row r="8" spans="1:6" x14ac:dyDescent="0.25">
      <c r="A8" t="s">
        <v>44</v>
      </c>
      <c r="B8" s="18">
        <f>B6*B7</f>
        <v>3794302748.5083385</v>
      </c>
      <c r="C8" s="18">
        <f>C6*C7</f>
        <v>4069791840.9750295</v>
      </c>
      <c r="D8" s="18">
        <f>D6*D7</f>
        <v>4365283090.6491165</v>
      </c>
      <c r="E8" s="18">
        <f>E6*E7</f>
        <v>4682228773.877976</v>
      </c>
      <c r="F8" s="18">
        <f>F6*F7</f>
        <v>5022186610.965218</v>
      </c>
    </row>
    <row r="9" spans="1:6" x14ac:dyDescent="0.25">
      <c r="A9" t="s">
        <v>45</v>
      </c>
      <c r="B9" s="18">
        <f>B8*(1-Assumptions!B8)</f>
        <v>2997499171.3215876</v>
      </c>
      <c r="C9" s="18">
        <f>C8*(1-Assumptions!B8)</f>
        <v>3215135554.3702736</v>
      </c>
      <c r="D9" s="18">
        <f>D8*(1-Assumptions!B8)</f>
        <v>3448573641.612802</v>
      </c>
      <c r="E9" s="18">
        <f>E8*(1-Assumptions!B8)</f>
        <v>3698960731.3636017</v>
      </c>
      <c r="F9" s="18">
        <f>F8*(1-Assumptions!B8)</f>
        <v>3967527422.662522</v>
      </c>
    </row>
    <row r="10" spans="1:6" x14ac:dyDescent="0.25">
      <c r="A10" t="s">
        <v>46</v>
      </c>
      <c r="B10" s="18">
        <f>B6*Assumptions!B9</f>
        <v>510697546.24886024</v>
      </c>
      <c r="C10" s="18">
        <f>C6*Assumptions!B9</f>
        <v>547777245.1728258</v>
      </c>
      <c r="D10" s="18">
        <f>D6*Assumptions!B9</f>
        <v>587549152.1999844</v>
      </c>
      <c r="E10" s="18">
        <f>E6*Assumptions!B9</f>
        <v>630208737.7543477</v>
      </c>
      <c r="F10" s="18">
        <f>F6*Assumptions!B9</f>
        <v>675965664.5828085</v>
      </c>
    </row>
    <row r="11" spans="1:6" x14ac:dyDescent="0.25">
      <c r="A11" t="s">
        <v>47</v>
      </c>
      <c r="B11" s="18">
        <f>-B6*Assumptions!B10</f>
        <v>-1095329669.057104</v>
      </c>
      <c r="C11" s="18">
        <f>-C6*Assumptions!B10</f>
        <v>-1174857159.7400787</v>
      </c>
      <c r="D11" s="18">
        <f>-D6*Assumptions!B10</f>
        <v>-1260158822.302991</v>
      </c>
      <c r="E11" s="18">
        <f>-E6*Assumptions!B10</f>
        <v>-1351653896.1888647</v>
      </c>
      <c r="F11" s="18">
        <f>-F6*Assumptions!B10</f>
        <v>-1449792060.133881</v>
      </c>
    </row>
    <row r="12" spans="1:6" x14ac:dyDescent="0.25">
      <c r="A12" t="s">
        <v>48</v>
      </c>
      <c r="B12" s="18">
        <f>-(B6-Assumptions!B29)*Assumptions!B11</f>
        <v>180101473.96204638</v>
      </c>
      <c r="C12" s="18">
        <f>-(C6-B6)*Assumptions!B11</f>
        <v>193177919.06997085</v>
      </c>
      <c r="D12" s="18">
        <f>-(D6-C6)*Assumptions!B11</f>
        <v>207203792.36911976</v>
      </c>
      <c r="E12" s="18">
        <f>-(E6-D6)*Assumptions!B11</f>
        <v>222248028.02950987</v>
      </c>
      <c r="F12" s="18">
        <f>-(F6-E6)*Assumptions!B11</f>
        <v>238384565.25454587</v>
      </c>
    </row>
    <row r="13" spans="1:6" x14ac:dyDescent="0.25">
      <c r="A13" s="19" t="s">
        <v>49</v>
      </c>
      <c r="B13" s="20">
        <f>B9+B10+B11+B12</f>
        <v>2592968522.4753904</v>
      </c>
      <c r="C13" s="20">
        <f>C9+C10+C11+C12</f>
        <v>2781233558.8729916</v>
      </c>
      <c r="D13" s="20">
        <f>D9+D10+D11+D12</f>
        <v>2983167763.8789153</v>
      </c>
      <c r="E13" s="20">
        <f>E9+E10+E11+E12</f>
        <v>3199763600.958595</v>
      </c>
      <c r="F13" s="20">
        <f>F9+F10+F11+F12</f>
        <v>3432085592.3659954</v>
      </c>
    </row>
    <row r="14" spans="1:6" x14ac:dyDescent="0.25">
      <c r="A14" t="s">
        <v>50</v>
      </c>
      <c r="B14" s="21">
        <f>1/(1+Assumptions!$B$26)^(1-0.5*Assumptions!$B$32)</f>
        <v>0.9614241886929542</v>
      </c>
      <c r="C14" s="21">
        <f>1/(1+Assumptions!$B$26)^(2-0.5*Assumptions!$B$32)</f>
        <v>0.888679441329668</v>
      </c>
      <c r="D14" s="21">
        <f>1/(1+Assumptions!$B$26)^(3-0.5*Assumptions!$B$32)</f>
        <v>0.8214388182969155</v>
      </c>
      <c r="E14" s="21">
        <f>1/(1+Assumptions!$B$26)^(4-0.5*Assumptions!$B$32)</f>
        <v>0.7592858581216133</v>
      </c>
      <c r="F14" s="21">
        <f>1/(1+Assumptions!$B$26)^(5-0.5*Assumptions!$B$32)</f>
        <v>0.7018356102755895</v>
      </c>
    </row>
    <row r="15" spans="1:6" x14ac:dyDescent="0.25">
      <c r="A15" s="19" t="s">
        <v>51</v>
      </c>
      <c r="B15" s="20">
        <f>B13*B14</f>
        <v>2492942658.0272703</v>
      </c>
      <c r="C15" s="20">
        <f>C13*C14</f>
        <v>2471625085.3065743</v>
      </c>
      <c r="D15" s="20">
        <f>D13*D14</f>
        <v>2450489802.742148</v>
      </c>
      <c r="E15" s="20">
        <f>E13*E14</f>
        <v>2429535251.54015</v>
      </c>
      <c r="F15" s="20">
        <f>F13*F14</f>
        <v>2408759886.2362466</v>
      </c>
    </row>
    <row r="17" spans="1:2" x14ac:dyDescent="0.25">
      <c r="A17" s="22" t="s">
        <v>52</v>
      </c>
      <c r="B17" s="23">
        <f>SUM(B15:F15)</f>
        <v>12253352683.852388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3432085592.3659954</v>
      </c>
    </row>
    <row r="5" spans="1:2" x14ac:dyDescent="0.25">
      <c r="A5" t="s">
        <v>56</v>
      </c>
      <c r="B5" s="18">
        <f>IF(Assumptions!$B$33=0,B4,B4-Forecast!F11-Forecast!F10-Forecast!F12)</f>
        <v>4014047990.180396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-167251999.59084985</v>
      </c>
    </row>
    <row r="8" spans="1:2" x14ac:dyDescent="0.25">
      <c r="A8" t="s">
        <v>59</v>
      </c>
      <c r="B8" s="18">
        <f>IF(OR(Assumptions!$B$33=0,Assumptions!B12&lt;=0),B5,MAX(B5+B7,0))</f>
        <v>3846795990.589546</v>
      </c>
    </row>
    <row r="9" spans="1:2" x14ac:dyDescent="0.25">
      <c r="A9" t="s">
        <v>60</v>
      </c>
      <c r="B9" s="18">
        <f>B8*(1+Assumptions!B12)/(Assumptions!B26-Assumptions!B12)</f>
        <v>69348663633.32121</v>
      </c>
    </row>
    <row r="10" spans="1:2" x14ac:dyDescent="0.25">
      <c r="A10" t="s">
        <v>61</v>
      </c>
      <c r="B10" s="18">
        <f>B9/(1+Assumptions!B26)^(5-0.5*Assumptions!B32)</f>
        <v>48671361662.88857</v>
      </c>
    </row>
    <row r="11" spans="1:2" x14ac:dyDescent="0.25">
      <c r="A11" t="s">
        <v>62</v>
      </c>
      <c r="B11" s="18">
        <f>Forecast!B17+B10</f>
        <v>60924714346.74096</v>
      </c>
    </row>
    <row r="12" spans="1:2" x14ac:dyDescent="0.25">
      <c r="A12" t="s">
        <v>63</v>
      </c>
      <c r="B12" s="18">
        <f>-Assumptions!B30</f>
        <v>-8297706000</v>
      </c>
    </row>
    <row r="13" spans="1:2" x14ac:dyDescent="0.25">
      <c r="A13" t="s">
        <v>64</v>
      </c>
      <c r="B13" s="18">
        <f>B11+B12</f>
        <v>52627008346.74096</v>
      </c>
    </row>
    <row r="14" spans="1:2" x14ac:dyDescent="0.25">
      <c r="A14" s="19" t="s">
        <v>65</v>
      </c>
      <c r="B14" s="24">
        <f>B13/Assumptions!B31</f>
        <v>61.485968119344186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5698152275.548026</v>
      </c>
    </row>
    <row r="18" spans="1:2" x14ac:dyDescent="0.25">
      <c r="A18" t="s">
        <v>60</v>
      </c>
      <c r="B18" s="18">
        <f>B17*Assumptions!B13</f>
        <v>110215677225.66992</v>
      </c>
    </row>
    <row r="19" spans="1:2" x14ac:dyDescent="0.25">
      <c r="A19" t="s">
        <v>61</v>
      </c>
      <c r="B19" s="18">
        <f>B18/(1+Assumptions!B26)^(5-0.5*Assumptions!B32)</f>
        <v>77353287087.61543</v>
      </c>
    </row>
    <row r="20" spans="1:2" x14ac:dyDescent="0.25">
      <c r="A20" t="s">
        <v>62</v>
      </c>
      <c r="B20" s="18">
        <f>Forecast!B17+B19</f>
        <v>89606639771.46782</v>
      </c>
    </row>
    <row r="21" spans="1:2" x14ac:dyDescent="0.25">
      <c r="A21" t="s">
        <v>63</v>
      </c>
      <c r="B21" s="18">
        <f>-Assumptions!B30</f>
        <v>-8297706000</v>
      </c>
    </row>
    <row r="22" spans="1:2" x14ac:dyDescent="0.25">
      <c r="A22" t="s">
        <v>64</v>
      </c>
      <c r="B22" s="18">
        <f>B20+B21</f>
        <v>81308933771.46782</v>
      </c>
    </row>
    <row r="23" spans="1:2" x14ac:dyDescent="0.25">
      <c r="A23" s="19" t="s">
        <v>65</v>
      </c>
      <c r="B23" s="25">
        <f>B22/Assumptions!B31</f>
        <v>94.99606127620466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84.71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61.485968119344186</v>
      </c>
    </row>
    <row r="29" spans="1:2" x14ac:dyDescent="0.25">
      <c r="A29" s="19" t="s">
        <v>73</v>
      </c>
      <c r="B29" s="12">
        <f>B28/B26-1</f>
        <v>-0.2741592714042712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0.061857</v>
      </c>
      <c r="B5" s="31">
        <v>80.91031632841568</v>
      </c>
      <c r="C5" s="31">
        <v>89.63160575908708</v>
      </c>
      <c r="D5" s="31">
        <v>100.7110518975373</v>
      </c>
      <c r="E5" s="31">
        <v>115.25900256737442</v>
      </c>
      <c r="F5" s="31">
        <v>135.2126647526549</v>
      </c>
    </row>
    <row r="6" spans="1:6" x14ac:dyDescent="0.25">
      <c r="A6" s="30">
        <v>0.071857</v>
      </c>
      <c r="B6" s="31">
        <v>64.690586957057</v>
      </c>
      <c r="C6" s="31">
        <v>70.21016626457666</v>
      </c>
      <c r="D6" s="31">
        <v>76.90160467043067</v>
      </c>
      <c r="E6" s="31">
        <v>85.18485311412783</v>
      </c>
      <c r="F6" s="31">
        <v>95.70774377320963</v>
      </c>
    </row>
    <row r="7" spans="1:6" x14ac:dyDescent="0.25">
      <c r="A7" s="30">
        <v>0.081857</v>
      </c>
      <c r="B7" s="31">
        <v>53.341750610473326</v>
      </c>
      <c r="C7" s="31">
        <v>57.08699648267256</v>
      </c>
      <c r="D7" s="32">
        <v>61.48613145065023</v>
      </c>
      <c r="E7" s="31">
        <v>66.7282975094442</v>
      </c>
      <c r="F7" s="31">
        <v>73.08336823957058</v>
      </c>
    </row>
    <row r="8" spans="1:6" x14ac:dyDescent="0.25">
      <c r="A8" s="30">
        <v>0.091857</v>
      </c>
      <c r="B8" s="31">
        <v>44.96160682652432</v>
      </c>
      <c r="C8" s="31">
        <v>47.63168231313597</v>
      </c>
      <c r="D8" s="31">
        <v>50.69719273022513</v>
      </c>
      <c r="E8" s="31">
        <v>54.25402898677808</v>
      </c>
      <c r="F8" s="31">
        <v>58.43181254702886</v>
      </c>
    </row>
    <row r="9" spans="1:6" x14ac:dyDescent="0.25">
      <c r="A9" s="30">
        <v>0.101857</v>
      </c>
      <c r="B9" s="31">
        <v>38.52402206801869</v>
      </c>
      <c r="C9" s="31">
        <v>40.499231466584746</v>
      </c>
      <c r="D9" s="31">
        <v>42.72815243885422</v>
      </c>
      <c r="E9" s="31">
        <v>45.26374675063356</v>
      </c>
      <c r="F9" s="31">
        <v>48.174819464857784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17781992000</v>
      </c>
      <c r="C5" s="18">
        <v>16708479000</v>
      </c>
      <c r="D5" s="18">
        <v>15812250000</v>
      </c>
      <c r="E5" s="18">
        <v>14409860000</v>
      </c>
      <c r="F5" s="8" t="s">
        <v>84</v>
      </c>
    </row>
    <row r="6" spans="1:6" x14ac:dyDescent="0.25">
      <c r="A6" t="s">
        <v>44</v>
      </c>
      <c r="B6" s="18">
        <v>3460612000</v>
      </c>
      <c r="C6" s="18">
        <v>3251157000</v>
      </c>
      <c r="D6" s="18">
        <v>3186376000</v>
      </c>
      <c r="E6" s="18">
        <v>2954491000</v>
      </c>
      <c r="F6" s="8" t="s">
        <v>85</v>
      </c>
    </row>
    <row r="7" spans="1:6" x14ac:dyDescent="0.25">
      <c r="A7" t="s">
        <v>86</v>
      </c>
      <c r="B7" s="18">
        <v>511230000</v>
      </c>
      <c r="C7" s="18">
        <v>461892000</v>
      </c>
      <c r="D7" s="18">
        <v>409061000</v>
      </c>
      <c r="E7" s="18">
        <v>357933000</v>
      </c>
      <c r="F7" s="8" t="s">
        <v>87</v>
      </c>
    </row>
    <row r="8" spans="1:6" x14ac:dyDescent="0.25">
      <c r="A8" t="s">
        <v>88</v>
      </c>
      <c r="B8" s="18">
        <v>1168815000</v>
      </c>
      <c r="C8" s="18">
        <v>1023387000</v>
      </c>
      <c r="D8" s="18">
        <v>1006264000</v>
      </c>
      <c r="E8" s="18">
        <v>563342000</v>
      </c>
      <c r="F8" s="8" t="s">
        <v>89</v>
      </c>
    </row>
    <row r="9" spans="1:6" x14ac:dyDescent="0.25">
      <c r="A9" t="s">
        <v>90</v>
      </c>
      <c r="B9" s="18">
        <v>303465000</v>
      </c>
      <c r="C9" s="18">
        <v>-209338000</v>
      </c>
      <c r="D9" s="18">
        <v>-195629000</v>
      </c>
      <c r="E9" s="18">
        <v>-516045000</v>
      </c>
      <c r="F9" s="8" t="s">
        <v>91</v>
      </c>
    </row>
    <row r="10" spans="1:6" x14ac:dyDescent="0.25">
      <c r="A10" t="s">
        <v>92</v>
      </c>
      <c r="B10" s="18">
        <v>8491499000</v>
      </c>
      <c r="C10" s="18">
        <v>7920850000</v>
      </c>
      <c r="D10" s="18">
        <v>7841005000</v>
      </c>
      <c r="E10" s="18">
        <v>6545030000</v>
      </c>
      <c r="F10" s="8" t="s">
        <v>93</v>
      </c>
    </row>
    <row r="11" spans="1:6" x14ac:dyDescent="0.25">
      <c r="A11" t="s">
        <v>94</v>
      </c>
      <c r="B11" s="18">
        <v>193793000</v>
      </c>
      <c r="C11" s="18">
        <v>130245000</v>
      </c>
      <c r="D11" s="18">
        <v>279132000</v>
      </c>
      <c r="E11" s="18">
        <v>108583000</v>
      </c>
      <c r="F11" s="8" t="s">
        <v>95</v>
      </c>
    </row>
    <row r="12" spans="1:6" x14ac:dyDescent="0.25">
      <c r="A12" t="s">
        <v>32</v>
      </c>
      <c r="B12" s="34">
        <v>855919000</v>
      </c>
      <c r="C12" s="34">
        <v>880575000</v>
      </c>
      <c r="D12" s="34">
        <v>914970000</v>
      </c>
      <c r="E12" s="34">
        <v>974430000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