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<sst xmlns="http://schemas.openxmlformats.org/spreadsheetml/2006/main" count="113" uniqueCount="101">
  <si>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Open Text Corporation (OTEX.TO)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</si>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</sst>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0.05365958879945487</v>
      </c>
    </row>
    <row r="7" spans="1:2" x14ac:dyDescent="0.25">
      <c r="A7" t="s">
        <v>5</v>
      </c>
      <c r="B7" s="6">
        <v>0.1906722033275555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0.13159902233408094</v>
      </c>
    </row>
    <row r="10" spans="1:2" x14ac:dyDescent="0.25">
      <c r="A10" t="s">
        <v>8</v>
      </c>
      <c r="B10" s="6">
        <v>0.030229716499609136</v>
      </c>
    </row>
    <row r="11" spans="1:2" x14ac:dyDescent="0.25">
      <c r="A11" t="s">
        <v>9</v>
      </c>
      <c r="B11" s="6">
        <v>0.006693928134660131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6.949613803629317</v>
      </c>
    </row>
    <row r="14" spans="1:3" x14ac:dyDescent="0.25">
      <c r="A14" t="s">
        <v>12</v>
      </c>
      <c r="B14" s="6">
        <v>0.0725080442489496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1.0187599999999999</v>
      </c>
      <c r="C19" s="8" t="s">
        <v>19</v>
      </c>
    </row>
    <row r="20" spans="1:2" x14ac:dyDescent="0.25">
      <c r="A20" t="s">
        <v>20</v>
      </c>
      <c r="B20" s="10">
        <f>B17+B19*B18</f>
        <v>0.0890318</v>
      </c>
    </row>
    <row r="21" spans="1:3" x14ac:dyDescent="0.25">
      <c r="A21" t="s">
        <v>21</v>
      </c>
      <c r="B21" s="6">
        <v>0.05578371917353813</v>
      </c>
      <c r="C21" s="8" t="s">
        <v>22</v>
      </c>
    </row>
    <row r="22" spans="1:2" x14ac:dyDescent="0.25">
      <c r="A22" t="s">
        <v>23</v>
      </c>
      <c r="B22" s="11">
        <v>7651144704</v>
      </c>
    </row>
    <row r="23" spans="1:2" x14ac:dyDescent="0.25">
      <c r="A23" t="s">
        <v>24</v>
      </c>
      <c r="B23" s="11">
        <v>5972406000</v>
      </c>
    </row>
    <row r="24" spans="1:2" x14ac:dyDescent="0.25">
      <c r="A24" t="s">
        <v>25</v>
      </c>
      <c r="B24" s="10">
        <f>B22/(B22+B23)</f>
        <v>0.5616116437070663</v>
      </c>
    </row>
    <row r="25" spans="1:2" x14ac:dyDescent="0.25">
      <c r="A25" t="s">
        <v>26</v>
      </c>
      <c r="B25" s="10">
        <f>1-B24</f>
        <v>0.4383883562929337</v>
      </c>
    </row>
    <row r="26" spans="1:2" x14ac:dyDescent="0.25">
      <c r="A26" t="s">
        <v>27</v>
      </c>
      <c r="B26" s="12">
        <f>B24*B20+B25*B21*(1-B8)</f>
        <v>0.06797567126314837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5246401000</v>
      </c>
      <c r="C29" s="8" t="s">
        <v>30</v>
      </c>
    </row>
    <row r="30" spans="1:2" x14ac:dyDescent="0.25">
      <c r="A30" t="s">
        <v>31</v>
      </c>
      <c r="B30" s="11">
        <v>5016382000</v>
      </c>
    </row>
    <row r="31" spans="1:2" x14ac:dyDescent="0.25">
      <c r="A31" t="s">
        <v>32</v>
      </c>
      <c r="B31" s="13">
        <v>249373000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0.05365958879945487</v>
      </c>
      <c r="C5" s="10">
        <f>Assumptions!B6</f>
        <v>0.05365958879945487</v>
      </c>
      <c r="D5" s="10">
        <f>Assumptions!B6</f>
        <v>0.05365958879945487</v>
      </c>
      <c r="E5" s="10">
        <f>Assumptions!B6</f>
        <v>0.05365958879945487</v>
      </c>
      <c r="F5" s="10">
        <f>Assumptions!B6</f>
        <v>0.05365958879945487</v>
      </c>
    </row>
    <row r="6" spans="1:6" x14ac:dyDescent="0.25">
      <c r="A6" t="s">
        <v>43</v>
      </c>
      <c r="B6" s="18">
        <f>Assumptions!B29*(1+B5)</f>
        <v>5527920720.337049</v>
      </c>
      <c r="C6" s="18">
        <f>B6*(1+C5)</f>
        <v>5824546673.106321</v>
      </c>
      <c r="D6" s="18">
        <f>C6*(1+D5)</f>
        <v>6137089452.5284395</v>
      </c>
      <c r="E6" s="18">
        <f>D6*(1+E5)</f>
        <v>6466403148.976587</v>
      </c>
      <c r="F6" s="18">
        <f>E6*(1+F5)</f>
        <v>6813387682.962172</v>
      </c>
    </row>
    <row r="7" spans="1:6" x14ac:dyDescent="0.25">
      <c r="A7" t="s">
        <v>5</v>
      </c>
      <c r="B7" s="10">
        <f>Assumptions!B7</f>
        <v>0.1906722033275555</v>
      </c>
      <c r="C7" s="10">
        <f>Assumptions!B7</f>
        <v>0.1906722033275555</v>
      </c>
      <c r="D7" s="10">
        <f>Assumptions!B7</f>
        <v>0.1906722033275555</v>
      </c>
      <c r="E7" s="10">
        <f>Assumptions!B7</f>
        <v>0.1906722033275555</v>
      </c>
      <c r="F7" s="10">
        <f>Assumptions!B7</f>
        <v>0.1906722033275555</v>
      </c>
    </row>
    <row r="8" spans="1:6" x14ac:dyDescent="0.25">
      <c r="A8" t="s">
        <v>44</v>
      </c>
      <c r="B8" s="18">
        <f>B6*B7</f>
        <v>1054020823.5667127</v>
      </c>
      <c r="C8" s="18">
        <f>C6*C7</f>
        <v>1110579147.5453653</v>
      </c>
      <c r="D8" s="18">
        <f>D6*D7</f>
        <v>1170172367.9318988</v>
      </c>
      <c r="E8" s="18">
        <f>E6*E7</f>
        <v>1232963336.019609</v>
      </c>
      <c r="F8" s="18">
        <f>F6*F7</f>
        <v>1299123641.6352253</v>
      </c>
    </row>
    <row r="9" spans="1:6" x14ac:dyDescent="0.25">
      <c r="A9" t="s">
        <v>45</v>
      </c>
      <c r="B9" s="18">
        <f>B8*(1-Assumptions!B8)</f>
        <v>774705305.3215338</v>
      </c>
      <c r="C9" s="18">
        <f>C8*(1-Assumptions!B8)</f>
        <v>816275673.4458435</v>
      </c>
      <c r="D9" s="18">
        <f>D8*(1-Assumptions!B8)</f>
        <v>860076690.4299456</v>
      </c>
      <c r="E9" s="18">
        <f>E8*(1-Assumptions!B8)</f>
        <v>906228051.9744126</v>
      </c>
      <c r="F9" s="18">
        <f>F8*(1-Assumptions!B8)</f>
        <v>954855876.6018906</v>
      </c>
    </row>
    <row r="10" spans="1:6" x14ac:dyDescent="0.25">
      <c r="A10" t="s">
        <v>46</v>
      </c>
      <c r="B10" s="18">
        <f>B6*Assumptions!B9</f>
        <v>727468962.3366641</v>
      </c>
      <c r="C10" s="18">
        <f>C6*Assumptions!B9</f>
        <v>766504647.7200156</v>
      </c>
      <c r="D10" s="18">
        <f>D6*Assumptions!B9</f>
        <v>807634971.9295427</v>
      </c>
      <c r="E10" s="18">
        <f>E6*Assumptions!B9</f>
        <v>850972332.4233413</v>
      </c>
      <c r="F10" s="18">
        <f>F6*Assumptions!B9</f>
        <v>896635157.8608907</v>
      </c>
    </row>
    <row r="11" spans="1:6" x14ac:dyDescent="0.25">
      <c r="A11" t="s">
        <v>47</v>
      </c>
      <c r="B11" s="18">
        <f>-B6*Assumptions!B10</f>
        <v>-167107476.2081041</v>
      </c>
      <c r="C11" s="18">
        <f>-C6*Assumptions!B10</f>
        <v>-176074394.66674566</v>
      </c>
      <c r="D11" s="18">
        <f>-D6*Assumptions!B10</f>
        <v>-185522474.28267616</v>
      </c>
      <c r="E11" s="18">
        <f>-E6*Assumptions!B10</f>
        <v>-195477533.96574202</v>
      </c>
      <c r="F11" s="18">
        <f>-F6*Assumptions!B10</f>
        <v>-205966778.05787522</v>
      </c>
    </row>
    <row r="12" spans="1:6" x14ac:dyDescent="0.25">
      <c r="A12" t="s">
        <v>48</v>
      </c>
      <c r="B12" s="18">
        <f>-(B6-Assumptions!B29)*Assumptions!B11</f>
        <v>-1884472.776425821</v>
      </c>
      <c r="C12" s="18">
        <f>-(C6-B6)*Assumptions!B11</f>
        <v>-1985592.8107126025</v>
      </c>
      <c r="D12" s="18">
        <f>-(D6-C6)*Assumptions!B11</f>
        <v>-2092138.9044585924</v>
      </c>
      <c r="E12" s="18">
        <f>-(E6-D6)*Assumptions!B11</f>
        <v>-2204402.2177831824</v>
      </c>
      <c r="F12" s="18">
        <f>-(F6-E6)*Assumptions!B11</f>
        <v>-2322689.534338037</v>
      </c>
    </row>
    <row r="13" spans="1:6" x14ac:dyDescent="0.25">
      <c r="A13" s="19" t="s">
        <v>49</v>
      </c>
      <c r="B13" s="20">
        <f>B9+B10+B11+B12</f>
        <v>1333182318.673668</v>
      </c>
      <c r="C13" s="20">
        <f>C9+C10+C11+C12</f>
        <v>1404720333.688401</v>
      </c>
      <c r="D13" s="20">
        <f>D9+D10+D11+D12</f>
        <v>1480097049.1723535</v>
      </c>
      <c r="E13" s="20">
        <f>E9+E10+E11+E12</f>
        <v>1559518448.2142284</v>
      </c>
      <c r="F13" s="20">
        <f>F9+F10+F11+F12</f>
        <v>1643201566.8705683</v>
      </c>
    </row>
    <row r="14" spans="1:6" x14ac:dyDescent="0.25">
      <c r="A14" t="s">
        <v>50</v>
      </c>
      <c r="B14" s="21">
        <f>1/(1+Assumptions!$B$26)^(1-0.5*Assumptions!$B$32)</f>
        <v>0.967652271130032</v>
      </c>
      <c r="C14" s="21">
        <f>1/(1+Assumptions!$B$26)^(2-0.5*Assumptions!$B$32)</f>
        <v>0.9060620922062216</v>
      </c>
      <c r="D14" s="21">
        <f>1/(1+Assumptions!$B$26)^(3-0.5*Assumptions!$B$32)</f>
        <v>0.8483920716420221</v>
      </c>
      <c r="E14" s="21">
        <f>1/(1+Assumptions!$B$26)^(4-0.5*Assumptions!$B$32)</f>
        <v>0.7943926949558565</v>
      </c>
      <c r="F14" s="21">
        <f>1/(1+Assumptions!$B$26)^(5-0.5*Assumptions!$B$32)</f>
        <v>0.7438303290338893</v>
      </c>
    </row>
    <row r="15" spans="1:6" x14ac:dyDescent="0.25">
      <c r="A15" s="19" t="s">
        <v>51</v>
      </c>
      <c r="B15" s="20">
        <f>B13*B14</f>
        <v>1290056898.494977</v>
      </c>
      <c r="C15" s="20">
        <f>C13*C14</f>
        <v>1272763844.5063343</v>
      </c>
      <c r="D15" s="20">
        <f>D13*D14</f>
        <v>1255702601.7785769</v>
      </c>
      <c r="E15" s="20">
        <f>E13*E14</f>
        <v>1238870062.9102762</v>
      </c>
      <c r="F15" s="20">
        <f>F13*F14</f>
        <v>1222263162.1543374</v>
      </c>
    </row>
    <row r="17" spans="1:2" x14ac:dyDescent="0.25">
      <c r="A17" s="22" t="s">
        <v>52</v>
      </c>
      <c r="B17" s="23">
        <f>SUM(B15:F15)</f>
        <v>6279656569.8445015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1643201566.8705683</v>
      </c>
    </row>
    <row r="5" spans="1:2" x14ac:dyDescent="0.25">
      <c r="A5" t="s">
        <v>56</v>
      </c>
      <c r="B5" s="18">
        <f>IF(Assumptions!$B$33=0,B4,B4-Forecast!F11-Forecast!F10-Forecast!F12)</f>
        <v>1613882717.6296453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0.34478933005232953</v>
      </c>
    </row>
    <row r="7" spans="1:2" x14ac:dyDescent="0.25">
      <c r="A7" t="s">
        <v>58</v>
      </c>
      <c r="B7" s="18">
        <f>-MAX(Forecast!F9,0)*B6</f>
        <v>-556449540.9945583</v>
      </c>
    </row>
    <row r="8" spans="1:2" x14ac:dyDescent="0.25">
      <c r="A8" t="s">
        <v>59</v>
      </c>
      <c r="B8" s="18">
        <f>IF(OR(Assumptions!$B$33=0,Assumptions!B12&lt;=0),B5,MAX(B5+B7,0))</f>
        <v>1057433176.635087</v>
      </c>
    </row>
    <row r="9" spans="1:2" x14ac:dyDescent="0.25">
      <c r="A9" t="s">
        <v>60</v>
      </c>
      <c r="B9" s="18">
        <f>B8*(1+Assumptions!B12)/(Assumptions!B26-Assumptions!B12)</f>
        <v>25220525338.95804</v>
      </c>
    </row>
    <row r="10" spans="1:2" x14ac:dyDescent="0.25">
      <c r="A10" t="s">
        <v>61</v>
      </c>
      <c r="B10" s="18">
        <f>B9/(1+Assumptions!B26)^(5-0.5*Assumptions!B32)</f>
        <v>18759791661.284702</v>
      </c>
    </row>
    <row r="11" spans="1:2" x14ac:dyDescent="0.25">
      <c r="A11" t="s">
        <v>62</v>
      </c>
      <c r="B11" s="18">
        <f>Forecast!B17+B10</f>
        <v>25039448231.129204</v>
      </c>
    </row>
    <row r="12" spans="1:2" x14ac:dyDescent="0.25">
      <c r="A12" t="s">
        <v>63</v>
      </c>
      <c r="B12" s="18">
        <f>-Assumptions!B30</f>
        <v>-5016382000</v>
      </c>
    </row>
    <row r="13" spans="1:2" x14ac:dyDescent="0.25">
      <c r="A13" t="s">
        <v>64</v>
      </c>
      <c r="B13" s="18">
        <f>B11+B12</f>
        <v>20023066231.129204</v>
      </c>
    </row>
    <row r="14" spans="1:2" x14ac:dyDescent="0.25">
      <c r="A14" s="19" t="s">
        <v>65</v>
      </c>
      <c r="B14" s="24">
        <f>B13/Assumptions!B31</f>
        <v>80.29364137709055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2195758799.496116</v>
      </c>
    </row>
    <row r="18" spans="1:2" x14ac:dyDescent="0.25">
      <c r="A18" t="s">
        <v>60</v>
      </c>
      <c r="B18" s="18">
        <f>B17*Assumptions!B13</f>
        <v>15259675662.418747</v>
      </c>
    </row>
    <row r="19" spans="1:2" x14ac:dyDescent="0.25">
      <c r="A19" t="s">
        <v>61</v>
      </c>
      <c r="B19" s="18">
        <f>B18/(1+Assumptions!B26)^(5-0.5*Assumptions!B32)</f>
        <v>11350609568.92737</v>
      </c>
    </row>
    <row r="20" spans="1:2" x14ac:dyDescent="0.25">
      <c r="A20" t="s">
        <v>62</v>
      </c>
      <c r="B20" s="18">
        <f>Forecast!B17+B19</f>
        <v>17630266138.771873</v>
      </c>
    </row>
    <row r="21" spans="1:2" x14ac:dyDescent="0.25">
      <c r="A21" t="s">
        <v>63</v>
      </c>
      <c r="B21" s="18">
        <f>-Assumptions!B30</f>
        <v>-5016382000</v>
      </c>
    </row>
    <row r="22" spans="1:2" x14ac:dyDescent="0.25">
      <c r="A22" t="s">
        <v>64</v>
      </c>
      <c r="B22" s="18">
        <f>B20+B21</f>
        <v>12613884138.771873</v>
      </c>
    </row>
    <row r="23" spans="1:2" x14ac:dyDescent="0.25">
      <c r="A23" s="19" t="s">
        <v>65</v>
      </c>
      <c r="B23" s="25">
        <f>B22/Assumptions!B31</f>
        <v>50.582397207283364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31.53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112.26656937344802</v>
      </c>
    </row>
    <row r="29" spans="1:2" x14ac:dyDescent="0.25">
      <c r="A29" s="19" t="s">
        <v>73</v>
      </c>
      <c r="B29" s="12">
        <f>B28/B26-1</f>
        <v>2.560627002012306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0.047976</v>
      </c>
      <c r="B5" s="31">
        <v>134.23389715817947</v>
      </c>
      <c r="C5" s="31">
        <v>144.66758562458304</v>
      </c>
      <c r="D5" s="31">
        <v>159.48509090729698</v>
      </c>
      <c r="E5" s="31">
        <v>182.34447109736803</v>
      </c>
      <c r="F5" s="31">
        <v>222.5419749317226</v>
      </c>
    </row>
    <row r="6" spans="1:6" x14ac:dyDescent="0.25">
      <c r="A6" s="30">
        <v>0.057976</v>
      </c>
      <c r="B6" s="31">
        <v>99.73353788928353</v>
      </c>
      <c r="C6" s="31">
        <v>103.34221264270714</v>
      </c>
      <c r="D6" s="31">
        <v>107.9402022413593</v>
      </c>
      <c r="E6" s="31">
        <v>114.05795144783765</v>
      </c>
      <c r="F6" s="31">
        <v>122.68764315374177</v>
      </c>
    </row>
    <row r="7" spans="1:6" x14ac:dyDescent="0.25">
      <c r="A7" s="30">
        <v>0.067976</v>
      </c>
      <c r="B7" s="31">
        <v>78.2175994304336</v>
      </c>
      <c r="C7" s="31">
        <v>79.18172211444293</v>
      </c>
      <c r="D7" s="32">
        <v>80.29294256524905</v>
      </c>
      <c r="E7" s="31">
        <v>81.60936238654784</v>
      </c>
      <c r="F7" s="31">
        <v>83.22432190334501</v>
      </c>
    </row>
    <row r="8" spans="1:6" x14ac:dyDescent="0.25">
      <c r="A8" s="30">
        <v>0.077976</v>
      </c>
      <c r="B8" s="31">
        <v>64.58201855461635</v>
      </c>
      <c r="C8" s="31">
        <v>64.87801785116771</v>
      </c>
      <c r="D8" s="31">
        <v>65.17401714771906</v>
      </c>
      <c r="E8" s="31">
        <v>65.4700164442704</v>
      </c>
      <c r="F8" s="31">
        <v>65.76601574082174</v>
      </c>
    </row>
    <row r="9" spans="1:6" x14ac:dyDescent="0.25">
      <c r="A9" s="30">
        <v>0.087976</v>
      </c>
      <c r="B9" s="31">
        <v>55.034915688104114</v>
      </c>
      <c r="C9" s="31">
        <v>55.2865914631666</v>
      </c>
      <c r="D9" s="31">
        <v>55.53826723822907</v>
      </c>
      <c r="E9" s="31">
        <v>55.78994301329157</v>
      </c>
      <c r="F9" s="31">
        <v>56.04161878835405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5246401000</v>
      </c>
      <c r="C5" s="18">
        <v>5168405000</v>
      </c>
      <c r="D5" s="18">
        <v>5769577000</v>
      </c>
      <c r="E5" s="18">
        <v>4484980000</v>
      </c>
      <c r="F5" s="8" t="s">
        <v>84</v>
      </c>
    </row>
    <row r="6" spans="1:6" x14ac:dyDescent="0.25">
      <c r="A6" t="s">
        <v>44</v>
      </c>
      <c r="B6" s="18">
        <v>1215617000</v>
      </c>
      <c r="C6" s="18">
        <v>1038579000</v>
      </c>
      <c r="D6" s="18">
        <v>1022390000</v>
      </c>
      <c r="E6" s="18">
        <v>685451000</v>
      </c>
      <c r="F6" s="8" t="s">
        <v>85</v>
      </c>
    </row>
    <row r="7" spans="1:6" x14ac:dyDescent="0.25">
      <c r="A7" t="s">
        <v>86</v>
      </c>
      <c r="B7" s="18">
        <v>607150000</v>
      </c>
      <c r="C7" s="18">
        <v>641244000</v>
      </c>
      <c r="D7" s="18">
        <v>807925000</v>
      </c>
      <c r="E7" s="18">
        <v>657351000</v>
      </c>
      <c r="F7" s="8" t="s">
        <v>87</v>
      </c>
    </row>
    <row r="8" spans="1:6" x14ac:dyDescent="0.25">
      <c r="A8" t="s">
        <v>88</v>
      </c>
      <c r="B8" s="18">
        <v>199300000</v>
      </c>
      <c r="C8" s="18">
        <v>143222000</v>
      </c>
      <c r="D8" s="18">
        <v>159295000</v>
      </c>
      <c r="E8" s="18">
        <v>123832000</v>
      </c>
      <c r="F8" s="8" t="s">
        <v>89</v>
      </c>
    </row>
    <row r="9" spans="1:6" x14ac:dyDescent="0.25">
      <c r="A9" t="s">
        <v>90</v>
      </c>
      <c r="B9" s="18">
        <v>273895000</v>
      </c>
      <c r="C9" s="18">
        <v>309700000</v>
      </c>
      <c r="D9" s="18">
        <v>8599000</v>
      </c>
      <c r="E9" s="18">
        <v>207441000</v>
      </c>
      <c r="F9" s="8" t="s">
        <v>91</v>
      </c>
    </row>
    <row r="10" spans="1:6" x14ac:dyDescent="0.25">
      <c r="A10" t="s">
        <v>92</v>
      </c>
      <c r="B10" s="18">
        <v>5972406000</v>
      </c>
      <c r="C10" s="18">
        <v>6643784000</v>
      </c>
      <c r="D10" s="18">
        <v>6687413000</v>
      </c>
      <c r="E10" s="18">
        <v>9245950000</v>
      </c>
      <c r="F10" s="8" t="s">
        <v>93</v>
      </c>
    </row>
    <row r="11" spans="1:6" x14ac:dyDescent="0.25">
      <c r="A11" t="s">
        <v>94</v>
      </c>
      <c r="B11" s="18">
        <v>956024000</v>
      </c>
      <c r="C11" s="18">
        <v>1156496000</v>
      </c>
      <c r="D11" s="18">
        <v>1280662000</v>
      </c>
      <c r="E11" s="18">
        <v>1231625000</v>
      </c>
      <c r="F11" s="8" t="s">
        <v>95</v>
      </c>
    </row>
    <row r="12" spans="1:6" x14ac:dyDescent="0.25">
      <c r="A12" t="s">
        <v>32</v>
      </c>
      <c r="B12" s="34">
        <v>249373000</v>
      </c>
      <c r="C12" s="34">
        <v>263650000</v>
      </c>
      <c r="D12" s="34">
        <v>272588000</v>
      </c>
      <c r="E12" s="34">
        <v>270451000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2026-09-19T00:06:44Z</dcterms:modified>
</cp:coreProperties>
</file>