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<sst xmlns="http://schemas.openxmlformats.org/spreadsheetml/2006/main" count="112" uniqueCount="100">
  <si>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Otis Worldwide Corporation (OTIS)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</si>
  <si>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</si>
  <si>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</si>
  <si>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</si>
  <si>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</si>
  <si>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</si>
  <si>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</si>
  <si>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</si>
  <si>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</si>
  <si>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</si>
  <si>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</si>
  <si>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</si>
  <si>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</si>
  <si>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</si>
  <si>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</si>
  <si>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</si>
  <si>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</si>
  <si>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</si>
  <si>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</si>
  <si>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</si>
  <si>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</si>
  <si>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</si>
  <si>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</si>
  <si>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</si>
  <si>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</si>
  <si>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</si>
  <si>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</si>
  <si>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</si>
  <si>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</si>
  <si>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</si>
  <si>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</si>
  <si>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</si>
  <si>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</si>
  <si>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</si>
  <si>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</si>
  <si>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</si>
  <si>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</si>
  <si>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</si>
  <si>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</si>
  <si>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</si>
  <si>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</si>
  <si>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</si>
  <si>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</si>
  <si>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</si>
  <si>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</si>
  <si>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</si>
  <si>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</si>
  <si>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</si>
  <si>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</si>
  <si>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</si>
  <si>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</si>
  <si>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</si>
  <si>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</si>
  <si>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</si>
  <si>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</si>
  <si>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</si>
  <si>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</si>
  <si>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</si>
  <si>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</si>
  <si>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</si>
  <si>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</si>
  <si>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</si>
  <si>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</si>
  <si>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</si>
  <si>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</si>
  <si>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</si>
  <si>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</si>
  <si>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</si>
  <si>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</si>
  <si>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</si>
  <si>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</si>
  <si>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</si>
  <si>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</si>
  <si>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</si>
  <si>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</si>
  <si>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</si>
  <si>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</si>
  <si>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</si>
  <si>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</si>
  <si>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</si>
  <si>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</si>
  <si>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</si>
  <si>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</si>
  <si>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</si>
  <si>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</si>
  <si>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</si>
  <si>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</si>
  <si>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</si>
  <si>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</si>
  <si>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</si>
  <si>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</si>
  <si>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</si>
  <si>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</si>
  <si>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</si>
  <si>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</si>
  <si>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</si>
  <si>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</si>
  <si>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</si>
  <si>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0.94%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</si>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</sst>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0.017850220319947985</v>
      </c>
    </row>
    <row r="7" spans="1:2" x14ac:dyDescent="0.25">
      <c r="A7" t="s">
        <v>5</v>
      </c>
      <c r="B7" s="6">
        <v>0.15176444718938426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0.01308961408165971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0.05916030534351145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13.992674673350042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0.91625</v>
      </c>
      <c r="C19" s="8" t="s">
        <v>19</v>
      </c>
    </row>
    <row r="20" spans="1:2" x14ac:dyDescent="0.25">
      <c r="A20" t="s">
        <v>20</v>
      </c>
      <c r="B20" s="10">
        <f>B17+B19*B18</f>
        <v>0.10037375000000001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26083463168</v>
      </c>
    </row>
    <row r="23" spans="1:2" x14ac:dyDescent="0.25">
      <c r="A23" t="s">
        <v>24</v>
      </c>
      <c r="B23" s="11">
        <v>8511000000</v>
      </c>
    </row>
    <row r="24" spans="1:2" x14ac:dyDescent="0.25">
      <c r="A24" t="s">
        <v>25</v>
      </c>
      <c r="B24" s="10">
        <f>B22/(B22+B23)</f>
        <v>0.753977971600013</v>
      </c>
    </row>
    <row r="25" spans="1:2" x14ac:dyDescent="0.25">
      <c r="A25" t="s">
        <v>26</v>
      </c>
      <c r="B25" s="10">
        <f>1-B24</f>
        <v>0.246022028399987</v>
      </c>
    </row>
    <row r="26" spans="1:2" x14ac:dyDescent="0.25">
      <c r="A26" t="s">
        <v>27</v>
      </c>
      <c r="B26" s="12">
        <f>B24*B20+B25*B21*(1-B8)</f>
        <v>0.08928072744935739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14431000000</v>
      </c>
      <c r="C29" s="8" t="s">
        <v>30</v>
      </c>
    </row>
    <row r="30" spans="1:2" x14ac:dyDescent="0.25">
      <c r="A30" t="s">
        <v>31</v>
      </c>
      <c r="B30" s="11">
        <v>7415000000</v>
      </c>
    </row>
    <row r="31" spans="1:2" x14ac:dyDescent="0.25">
      <c r="A31" t="s">
        <v>32</v>
      </c>
      <c r="B31" s="13">
        <v>394900000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0.017850220319947985</v>
      </c>
      <c r="C5" s="10">
        <f>Assumptions!B6</f>
        <v>0.017850220319947985</v>
      </c>
      <c r="D5" s="10">
        <f>Assumptions!B6</f>
        <v>0.017850220319947985</v>
      </c>
      <c r="E5" s="10">
        <f>Assumptions!B6</f>
        <v>0.017850220319947985</v>
      </c>
      <c r="F5" s="10">
        <f>Assumptions!B6</f>
        <v>0.017850220319947985</v>
      </c>
    </row>
    <row r="6" spans="1:6" x14ac:dyDescent="0.25">
      <c r="A6" t="s">
        <v>43</v>
      </c>
      <c r="B6" s="18">
        <f>Assumptions!B29*(1+B5)</f>
        <v>14688596529.43717</v>
      </c>
      <c r="C6" s="18">
        <f>B6*(1+C5)</f>
        <v>14950791213.678448</v>
      </c>
      <c r="D6" s="18">
        <f>C6*(1+D5)</f>
        <v>15217666130.80015</v>
      </c>
      <c r="E6" s="18">
        <f>D6*(1+E5)</f>
        <v>15489304823.990343</v>
      </c>
      <c r="F6" s="18">
        <f>E6*(1+F5)</f>
        <v>15765792327.701405</v>
      </c>
    </row>
    <row r="7" spans="1:6" x14ac:dyDescent="0.25">
      <c r="A7" t="s">
        <v>5</v>
      </c>
      <c r="B7" s="10">
        <f>Assumptions!B7</f>
        <v>0.15176444718938426</v>
      </c>
      <c r="C7" s="10">
        <f>Assumptions!B7</f>
        <v>0.15176444718938426</v>
      </c>
      <c r="D7" s="10">
        <f>Assumptions!B7</f>
        <v>0.15176444718938426</v>
      </c>
      <c r="E7" s="10">
        <f>Assumptions!B7</f>
        <v>0.15176444718938426</v>
      </c>
      <c r="F7" s="10">
        <f>Assumptions!B7</f>
        <v>0.15176444718938426</v>
      </c>
    </row>
    <row r="8" spans="1:6" x14ac:dyDescent="0.25">
      <c r="A8" t="s">
        <v>44</v>
      </c>
      <c r="B8" s="18">
        <f>B6*B7</f>
        <v>2229206732.2779403</v>
      </c>
      <c r="C8" s="18">
        <f>C6*C7</f>
        <v>2268998563.587813</v>
      </c>
      <c r="D8" s="18">
        <f>D6*D7</f>
        <v>2309500687.853501</v>
      </c>
      <c r="E8" s="18">
        <f>E6*E7</f>
        <v>2350725783.9607573</v>
      </c>
      <c r="F8" s="18">
        <f>F6*F7</f>
        <v>2392686757.116239</v>
      </c>
    </row>
    <row r="9" spans="1:6" x14ac:dyDescent="0.25">
      <c r="A9" t="s">
        <v>45</v>
      </c>
      <c r="B9" s="18">
        <f>B8*(1-Assumptions!B8)</f>
        <v>1761073318.499573</v>
      </c>
      <c r="C9" s="18">
        <f>C8*(1-Assumptions!B8)</f>
        <v>1792508865.2343724</v>
      </c>
      <c r="D9" s="18">
        <f>D8*(1-Assumptions!B8)</f>
        <v>1824505543.4042656</v>
      </c>
      <c r="E9" s="18">
        <f>E8*(1-Assumptions!B8)</f>
        <v>1857073369.3289983</v>
      </c>
      <c r="F9" s="18">
        <f>F8*(1-Assumptions!B8)</f>
        <v>1890222538.121829</v>
      </c>
    </row>
    <row r="10" spans="1:6" x14ac:dyDescent="0.25">
      <c r="A10" t="s">
        <v>46</v>
      </c>
      <c r="B10" s="18">
        <f>B6*Assumptions!B9</f>
        <v>192268059.97153872</v>
      </c>
      <c r="C10" s="18">
        <f>C6*Assumptions!B9</f>
        <v>195700087.20251969</v>
      </c>
      <c r="D10" s="18">
        <f>D6*Assumptions!B9</f>
        <v>199193376.87571767</v>
      </c>
      <c r="E10" s="18">
        <f>E6*Assumptions!B9</f>
        <v>202749022.53922367</v>
      </c>
      <c r="F10" s="18">
        <f>F6*Assumptions!B9</f>
        <v>206368137.26120293</v>
      </c>
    </row>
    <row r="11" spans="1:6" x14ac:dyDescent="0.25">
      <c r="A11" t="s">
        <v>47</v>
      </c>
      <c r="B11" s="18">
        <f>-B6*Assumptions!B10</f>
        <v>-146885965.2943717</v>
      </c>
      <c r="C11" s="18">
        <f>-C6*Assumptions!B10</f>
        <v>-149507912.1367845</v>
      </c>
      <c r="D11" s="18">
        <f>-D6*Assumptions!B10</f>
        <v>-152176661.3080015</v>
      </c>
      <c r="E11" s="18">
        <f>-E6*Assumptions!B10</f>
        <v>-154893048.23990342</v>
      </c>
      <c r="F11" s="18">
        <f>-F6*Assumptions!B10</f>
        <v>-157657923.27701405</v>
      </c>
    </row>
    <row r="12" spans="1:6" x14ac:dyDescent="0.25">
      <c r="A12" t="s">
        <v>48</v>
      </c>
      <c r="B12" s="18">
        <f>-(B6-Assumptions!B29)*Assumptions!B11</f>
        <v>-15239489.336931815</v>
      </c>
      <c r="C12" s="18">
        <f>-(C6-B6)*Assumptions!B11</f>
        <v>-15511517.579159558</v>
      </c>
      <c r="D12" s="18">
        <f>-(D6-C6)*Assumptions!B11</f>
        <v>-15788401.585444214</v>
      </c>
      <c r="E12" s="18">
        <f>-(E6-D6)*Assumptions!B11</f>
        <v>-16070228.032244254</v>
      </c>
      <c r="F12" s="18">
        <f>-(F6-E6)*Assumptions!B11</f>
        <v>-16357085.143211653</v>
      </c>
    </row>
    <row r="13" spans="1:6" x14ac:dyDescent="0.25">
      <c r="A13" s="19" t="s">
        <v>49</v>
      </c>
      <c r="B13" s="20">
        <f>B9+B10+B11+B12</f>
        <v>1791215923.8398085</v>
      </c>
      <c r="C13" s="20">
        <f>C9+C10+C11+C12</f>
        <v>1823189522.720948</v>
      </c>
      <c r="D13" s="20">
        <f>D9+D10+D11+D12</f>
        <v>1855733857.3865376</v>
      </c>
      <c r="E13" s="20">
        <f>E9+E10+E11+E12</f>
        <v>1888859115.5960743</v>
      </c>
      <c r="F13" s="20">
        <f>F9+F10+F11+F12</f>
        <v>1922575666.9628062</v>
      </c>
    </row>
    <row r="14" spans="1:6" x14ac:dyDescent="0.25">
      <c r="A14" t="s">
        <v>50</v>
      </c>
      <c r="B14" s="21">
        <f>1/(1+Assumptions!$B$26)^(1-0.5*Assumptions!$B$32)</f>
        <v>0.9581424683894172</v>
      </c>
      <c r="C14" s="21">
        <f>1/(1+Assumptions!$B$26)^(2-0.5*Assumptions!$B$32)</f>
        <v>0.8796102274140005</v>
      </c>
      <c r="D14" s="21">
        <f>1/(1+Assumptions!$B$26)^(3-0.5*Assumptions!$B$32)</f>
        <v>0.8075147253120708</v>
      </c>
      <c r="E14" s="21">
        <f>1/(1+Assumptions!$B$26)^(4-0.5*Assumptions!$B$32)</f>
        <v>0.7413283875892439</v>
      </c>
      <c r="F14" s="21">
        <f>1/(1+Assumptions!$B$26)^(5-0.5*Assumptions!$B$32)</f>
        <v>0.6805668813448364</v>
      </c>
    </row>
    <row r="15" spans="1:6" x14ac:dyDescent="0.25">
      <c r="A15" s="19" t="s">
        <v>51</v>
      </c>
      <c r="B15" s="20">
        <f>B13*B14</f>
        <v>1716240046.6863043</v>
      </c>
      <c r="C15" s="20">
        <f>C13*C14</f>
        <v>1603696150.6993961</v>
      </c>
      <c r="D15" s="20">
        <f>D13*D14</f>
        <v>1498532416.0997994</v>
      </c>
      <c r="E15" s="20">
        <f>E13*E14</f>
        <v>1400264882.548083</v>
      </c>
      <c r="F15" s="20">
        <f>F13*F14</f>
        <v>1308441325.8143458</v>
      </c>
    </row>
    <row r="17" spans="1:2" x14ac:dyDescent="0.25">
      <c r="A17" s="22" t="s">
        <v>52</v>
      </c>
      <c r="B17" s="23">
        <f>SUM(B15:F15)</f>
        <v>7527174821.847929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1922575666.9628062</v>
      </c>
    </row>
    <row r="5" spans="1:2" x14ac:dyDescent="0.25">
      <c r="A5" t="s">
        <v>56</v>
      </c>
      <c r="B5" s="18">
        <f>IF(Assumptions!$B$33=0,B4,B4-Forecast!F11-Forecast!F10-Forecast!F12)</f>
        <v>1948210836.6225414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-81175451.52593924</v>
      </c>
    </row>
    <row r="8" spans="1:2" x14ac:dyDescent="0.25">
      <c r="A8" t="s">
        <v>59</v>
      </c>
      <c r="B8" s="18">
        <f>IF(OR(Assumptions!$B$33=0,Assumptions!B12&lt;=0),B5,MAX(B5+B7,0))</f>
        <v>1867035385.0966022</v>
      </c>
    </row>
    <row r="9" spans="1:2" x14ac:dyDescent="0.25">
      <c r="A9" t="s">
        <v>60</v>
      </c>
      <c r="B9" s="18">
        <f>B8*(1+Assumptions!B12)/(Assumptions!B26-Assumptions!B12)</f>
        <v>29771151411.310738</v>
      </c>
    </row>
    <row r="10" spans="1:2" x14ac:dyDescent="0.25">
      <c r="A10" t="s">
        <v>61</v>
      </c>
      <c r="B10" s="18">
        <f>B9/(1+Assumptions!B26)^(5-0.5*Assumptions!B32)</f>
        <v>20261259670.040676</v>
      </c>
    </row>
    <row r="11" spans="1:2" x14ac:dyDescent="0.25">
      <c r="A11" t="s">
        <v>62</v>
      </c>
      <c r="B11" s="18">
        <f>Forecast!B17+B10</f>
        <v>27788434491.888603</v>
      </c>
    </row>
    <row r="12" spans="1:2" x14ac:dyDescent="0.25">
      <c r="A12" t="s">
        <v>63</v>
      </c>
      <c r="B12" s="18">
        <f>-Assumptions!B30</f>
        <v>-7415000000</v>
      </c>
    </row>
    <row r="13" spans="1:2" x14ac:dyDescent="0.25">
      <c r="A13" t="s">
        <v>64</v>
      </c>
      <c r="B13" s="18">
        <f>B11+B12</f>
        <v>20373434491.888603</v>
      </c>
    </row>
    <row r="14" spans="1:2" x14ac:dyDescent="0.25">
      <c r="A14" s="19" t="s">
        <v>65</v>
      </c>
      <c r="B14" s="24">
        <f>B13/Assumptions!B31</f>
        <v>51.59137627725653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2599054894.377442</v>
      </c>
    </row>
    <row r="18" spans="1:2" x14ac:dyDescent="0.25">
      <c r="A18" t="s">
        <v>60</v>
      </c>
      <c r="B18" s="18">
        <f>B17*Assumptions!B13</f>
        <v>36367729595.2017</v>
      </c>
    </row>
    <row r="19" spans="1:2" x14ac:dyDescent="0.25">
      <c r="A19" t="s">
        <v>61</v>
      </c>
      <c r="B19" s="18">
        <f>B18/(1+Assumptions!B26)^(5-0.5*Assumptions!B32)</f>
        <v>24750672312.19873</v>
      </c>
    </row>
    <row r="20" spans="1:2" x14ac:dyDescent="0.25">
      <c r="A20" t="s">
        <v>62</v>
      </c>
      <c r="B20" s="18">
        <f>Forecast!B17+B19</f>
        <v>32277847134.04666</v>
      </c>
    </row>
    <row r="21" spans="1:2" x14ac:dyDescent="0.25">
      <c r="A21" t="s">
        <v>63</v>
      </c>
      <c r="B21" s="18">
        <f>-Assumptions!B30</f>
        <v>-7415000000</v>
      </c>
    </row>
    <row r="22" spans="1:2" x14ac:dyDescent="0.25">
      <c r="A22" t="s">
        <v>64</v>
      </c>
      <c r="B22" s="18">
        <f>B20+B21</f>
        <v>24862847134.04666</v>
      </c>
    </row>
    <row r="23" spans="1:2" x14ac:dyDescent="0.25">
      <c r="A23" s="19" t="s">
        <v>65</v>
      </c>
      <c r="B23" s="25">
        <f>B22/Assumptions!B31</f>
        <v>62.959855999105244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68.52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51.59137627725653</v>
      </c>
    </row>
    <row r="29" spans="1:2" x14ac:dyDescent="0.25">
      <c r="A29" s="19" t="s">
        <v>73</v>
      </c>
      <c r="B29" s="12">
        <f>B28/B26-1</f>
        <v>-0.2470610584171551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0.069281</v>
      </c>
      <c r="B5" s="31">
        <v>67.68091804818799</v>
      </c>
      <c r="C5" s="31">
        <v>74.16316765937341</v>
      </c>
      <c r="D5" s="31">
        <v>82.10243878365634</v>
      </c>
      <c r="E5" s="31">
        <v>92.0551154921262</v>
      </c>
      <c r="F5" s="31">
        <v>104.90218386345065</v>
      </c>
    </row>
    <row r="6" spans="1:6" x14ac:dyDescent="0.25">
      <c r="A6" s="30">
        <v>0.079281</v>
      </c>
      <c r="B6" s="31">
        <v>54.58642990437016</v>
      </c>
      <c r="C6" s="31">
        <v>58.916917292521745</v>
      </c>
      <c r="D6" s="31">
        <v>64.03982235437323</v>
      </c>
      <c r="E6" s="31">
        <v>70.19633875696672</v>
      </c>
      <c r="F6" s="31">
        <v>77.73659793615796</v>
      </c>
    </row>
    <row r="7" spans="1:6" x14ac:dyDescent="0.25">
      <c r="A7" s="30">
        <v>0.089281</v>
      </c>
      <c r="B7" s="31">
        <v>45.0154030661098</v>
      </c>
      <c r="C7" s="31">
        <v>48.067982456008735</v>
      </c>
      <c r="D7" s="32">
        <v>51.591089688056684</v>
      </c>
      <c r="E7" s="31">
        <v>55.70378344264426</v>
      </c>
      <c r="F7" s="31">
        <v>60.56898993406549</v>
      </c>
    </row>
    <row r="8" spans="1:6" x14ac:dyDescent="0.25">
      <c r="A8" s="30">
        <v>0.099281</v>
      </c>
      <c r="B8" s="31">
        <v>37.713718320955486</v>
      </c>
      <c r="C8" s="31">
        <v>39.95255615547807</v>
      </c>
      <c r="D8" s="31">
        <v>42.48918019779289</v>
      </c>
      <c r="E8" s="31">
        <v>45.38806401376768</v>
      </c>
      <c r="F8" s="31">
        <v>48.73374108304499</v>
      </c>
    </row>
    <row r="9" spans="1:6" x14ac:dyDescent="0.25">
      <c r="A9" s="30">
        <v>0.109281</v>
      </c>
      <c r="B9" s="31">
        <v>31.95933029174034</v>
      </c>
      <c r="C9" s="31">
        <v>33.65224876713318</v>
      </c>
      <c r="D9" s="31">
        <v>35.54297441368049</v>
      </c>
      <c r="E9" s="31">
        <v>37.66893243499121</v>
      </c>
      <c r="F9" s="31">
        <v>40.07762469051059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14431000000</v>
      </c>
      <c r="C5" s="18">
        <v>14261000000</v>
      </c>
      <c r="D5" s="18">
        <v>14209000000</v>
      </c>
      <c r="E5" s="18">
        <v>13685000000</v>
      </c>
      <c r="F5" s="8" t="s">
        <v>84</v>
      </c>
    </row>
    <row r="6" spans="1:6" x14ac:dyDescent="0.25">
      <c r="A6" t="s">
        <v>44</v>
      </c>
      <c r="B6" s="18">
        <v>2219000000</v>
      </c>
      <c r="C6" s="18">
        <v>2051000000</v>
      </c>
      <c r="D6" s="18">
        <v>2247000000</v>
      </c>
      <c r="E6" s="18">
        <v>2071000000</v>
      </c>
      <c r="F6" s="8" t="s">
        <v>85</v>
      </c>
    </row>
    <row r="7" spans="1:6" x14ac:dyDescent="0.25">
      <c r="A7" t="s">
        <v>86</v>
      </c>
      <c r="B7" s="18">
        <v>175000000</v>
      </c>
      <c r="C7" s="18">
        <v>181000000</v>
      </c>
      <c r="D7" s="18">
        <v>193000000</v>
      </c>
      <c r="E7" s="18">
        <v>191000000</v>
      </c>
      <c r="F7" s="8" t="s">
        <v>87</v>
      </c>
    </row>
    <row r="8" spans="1:6" x14ac:dyDescent="0.25">
      <c r="A8" t="s">
        <v>88</v>
      </c>
      <c r="B8" s="18">
        <v>152000000</v>
      </c>
      <c r="C8" s="18">
        <v>126000000</v>
      </c>
      <c r="D8" s="18">
        <v>138000000</v>
      </c>
      <c r="E8" s="18">
        <v>115000000</v>
      </c>
      <c r="F8" s="8" t="s">
        <v>89</v>
      </c>
    </row>
    <row r="9" spans="1:6" x14ac:dyDescent="0.25">
      <c r="A9" t="s">
        <v>90</v>
      </c>
      <c r="B9" s="18">
        <v>-59000000</v>
      </c>
      <c r="C9" s="18">
        <v>294000000</v>
      </c>
      <c r="D9" s="18">
        <v>31000000</v>
      </c>
      <c r="E9" s="18">
        <v>96000000</v>
      </c>
      <c r="F9" s="8" t="s">
        <v>91</v>
      </c>
    </row>
    <row r="10" spans="1:6" x14ac:dyDescent="0.25">
      <c r="A10" t="s">
        <v>92</v>
      </c>
      <c r="B10" s="18">
        <v>8511000000</v>
      </c>
      <c r="C10" s="18">
        <v>8742000000</v>
      </c>
      <c r="D10" s="18">
        <v>7307000000</v>
      </c>
      <c r="E10" s="18">
        <v>7210000000</v>
      </c>
      <c r="F10" s="8" t="s">
        <v>93</v>
      </c>
    </row>
    <row r="11" spans="1:6" x14ac:dyDescent="0.25">
      <c r="A11" t="s">
        <v>94</v>
      </c>
      <c r="B11" s="18">
        <v>1096000000</v>
      </c>
      <c r="C11" s="18">
        <v>2300000000</v>
      </c>
      <c r="D11" s="18">
        <v>1274000000</v>
      </c>
      <c r="E11" s="18">
        <v>1189000000</v>
      </c>
      <c r="F11" s="8" t="s">
        <v>95</v>
      </c>
    </row>
    <row r="12" spans="1:6" x14ac:dyDescent="0.25">
      <c r="A12" t="s">
        <v>32</v>
      </c>
      <c r="B12" s="34">
        <v>394900000</v>
      </c>
      <c r="C12" s="34">
        <v>404400000</v>
      </c>
      <c r="D12" s="34">
        <v>414600000</v>
      </c>
      <c r="E12" s="34">
        <v>423000000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