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<sst xmlns="http://schemas.openxmlformats.org/spreadsheetml/2006/main" count="120" uniqueCount="107">
  <si>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Otis Worldwide Corporation (OTIS)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</si>
  <si>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</si>
  <si>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</si>
  <si>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</si>
  <si>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</si>
  <si>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</si>
  <si>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</si>
  <si>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</si>
  <si>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</si>
  <si>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</si>
  <si>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</si>
  <si>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</si>
  <si>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</si>
  <si>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</si>
  <si>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</si>
  <si>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</si>
  <si>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</si>
  <si>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</si>
  <si>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</si>
  <si>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</si>
  <si>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</si>
  <si>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</si>
  <si>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</si>
  <si>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</si>
  <si>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</si>
  <si>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</si>
  <si>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</si>
  <si>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</si>
  <si>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</si>
  <si>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</si>
  <si>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</si>
  <si>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</si>
  <si>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</si>
  <si>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</si>
  <si>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</si>
  <si>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</si>
  <si>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</si>
  <si>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</si>
  <si>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</si>
  <si>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</si>
  <si>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</si>
  <si>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</si>
  <si>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</si>
  <si>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</si>
  <si>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</si>
  <si>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</si>
  <si>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</si>
  <si>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</si>
  <si>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</si>
  <si>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</si>
  <si>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</si>
  <si>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</si>
  <si>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</si>
  <si>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</si>
  <si>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</si>
  <si>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</si>
  <si>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</si>
  <si>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</si>
  <si>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</si>
  <si>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</si>
  <si>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</si>
  <si>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</si>
  <si>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</si>
  <si>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</si>
  <si>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</si>
  <si>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</si>
  <si>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</si>
  <si>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</si>
  <si>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</si>
  <si>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</si>
  <si>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</si>
  <si>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</si>
  <si>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</si>
  <si>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</si>
  <si>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</si>
  <si>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</si>
  <si>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</si>
  <si>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</si>
  <si>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</si>
  <si>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</si>
  <si>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</si>
  <si>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</si>
  <si>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</si>
  <si>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</si>
  <si>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</si>
  <si>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</si>
  <si>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</si>
  <si>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</si>
  <si>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</si>
  <si>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</si>
  <si>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</si>
  <si>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</si>
  <si>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</si>
  <si>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</si>
  <si>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</si>
  <si>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</si>
  <si>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</si>
  <si>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</si>
  <si>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</si>
  <si>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</si>
  <si>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</si>
  <si>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</si>
  <si>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</si>
  <si>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</si>
  <si>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</si>
  <si>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0.94%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</si>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</sst>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0.06284762525119536</v>
      </c>
    </row>
    <row r="7" spans="1:2" x14ac:dyDescent="0.25">
      <c r="A7" t="s">
        <v>4</v>
      </c>
      <c r="B7" s="5">
        <v>0.15176444718938426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0.01308961408165971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0.14954560197950473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15.143618165413534</v>
      </c>
    </row>
    <row r="14" spans="1:3" x14ac:dyDescent="0.25">
      <c r="A14" t="s">
        <v>12</v>
      </c>
      <c r="B14" s="5">
        <v>0.6</v>
      </c>
      <c r="C14" s="6" t="s">
        <v>13</v>
      </c>
    </row>
    <row r="15" spans="1:3" x14ac:dyDescent="0.25">
      <c r="A15" t="s">
        <v>14</v>
      </c>
      <c r="B15" s="5">
        <v>0.008433780237800219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0.90553</v>
      </c>
      <c r="C19" s="6" t="s">
        <v>21</v>
      </c>
    </row>
    <row r="20" spans="1:2" x14ac:dyDescent="0.25">
      <c r="A20" t="s">
        <v>22</v>
      </c>
      <c r="B20" s="9">
        <f>B17+B19*B18</f>
        <v>0.087243919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28838821888</v>
      </c>
    </row>
    <row r="23" spans="1:2" x14ac:dyDescent="0.25">
      <c r="A23" t="s">
        <v>26</v>
      </c>
      <c r="B23" s="10">
        <v>8511000000</v>
      </c>
    </row>
    <row r="24" spans="1:2" x14ac:dyDescent="0.25">
      <c r="A24" t="s">
        <v>27</v>
      </c>
      <c r="B24" s="9">
        <f>B22/(B22+B23)</f>
        <v>0.7721274273938513</v>
      </c>
    </row>
    <row r="25" spans="1:2" x14ac:dyDescent="0.25">
      <c r="A25" t="s">
        <v>28</v>
      </c>
      <c r="B25" s="9">
        <f>1-B24</f>
        <v>0.22787257260614868</v>
      </c>
    </row>
    <row r="26" spans="1:2" x14ac:dyDescent="0.25">
      <c r="A26" t="s">
        <v>29</v>
      </c>
      <c r="B26" s="11">
        <f>B24*B20+B25*B21*(1-B8)</f>
        <v>0.07977395550604718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14431000000</v>
      </c>
      <c r="C29" s="6" t="s">
        <v>32</v>
      </c>
    </row>
    <row r="30" spans="1:2" x14ac:dyDescent="0.25">
      <c r="A30" t="s">
        <v>33</v>
      </c>
      <c r="B30" s="10">
        <v>7415000000</v>
      </c>
    </row>
    <row r="31" spans="1:2" x14ac:dyDescent="0.25">
      <c r="A31" t="s">
        <v>34</v>
      </c>
      <c r="B31" s="12">
        <v>394900000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0.06284762525119536</v>
      </c>
      <c r="C5" s="5">
        <v>0.04440550131051113</v>
      </c>
      <c r="D5" s="5">
        <v>0.04197981364669724</v>
      </c>
      <c r="E5" s="5">
        <v>0.03955412598288335</v>
      </c>
      <c r="F5" s="5">
        <v>0.03712843831906946</v>
      </c>
      <c r="G5" s="5">
        <v>0.03470275065525556</v>
      </c>
      <c r="H5" s="5">
        <v>0.032277062991441674</v>
      </c>
      <c r="I5" s="5">
        <v>0.029851375327627785</v>
      </c>
      <c r="J5" s="5">
        <v>0.027425687663813893</v>
      </c>
      <c r="K5" s="5">
        <v>0.025</v>
      </c>
    </row>
    <row r="6" spans="1:11" x14ac:dyDescent="0.25">
      <c r="A6" t="s">
        <v>50</v>
      </c>
      <c r="B6" s="18">
        <f>Assumptions!B29*(1+B5)</f>
        <v>15337954080</v>
      </c>
      <c r="C6" s="18">
        <f>B6*(1+C5)</f>
        <v>16019043620</v>
      </c>
      <c r="D6" s="18">
        <f>C6*(1+D5)</f>
        <v>16691520085.965916</v>
      </c>
      <c r="E6" s="18">
        <f>D6*(1+E5)</f>
        <v>17351738574.292038</v>
      </c>
      <c r="F6" s="18">
        <f>E6*(1+F5)</f>
        <v>17995981529.676258</v>
      </c>
      <c r="G6" s="18">
        <f>F6*(1+G5)</f>
        <v>18620491589.497196</v>
      </c>
      <c r="H6" s="18">
        <f>G6*(1+H5)</f>
        <v>19221506369.46301</v>
      </c>
      <c r="I6" s="18">
        <f>H6*(1+I5)</f>
        <v>19795294770.460236</v>
      </c>
      <c r="J6" s="18">
        <f>I6*(1+J5)</f>
        <v>20338194342.048008</v>
      </c>
      <c r="K6" s="18">
        <f>J6*(1+K5)</f>
        <v>20846649200.599205</v>
      </c>
    </row>
    <row r="7" spans="1:11" x14ac:dyDescent="0.25">
      <c r="A7" t="s">
        <v>4</v>
      </c>
      <c r="B7" s="9">
        <f>Assumptions!B7</f>
        <v>0.15176444718938426</v>
      </c>
      <c r="C7" s="9">
        <f>Assumptions!B7</f>
        <v>0.15176444718938426</v>
      </c>
      <c r="D7" s="9">
        <f>Assumptions!B7</f>
        <v>0.15176444718938426</v>
      </c>
      <c r="E7" s="9">
        <f>Assumptions!B7</f>
        <v>0.15176444718938426</v>
      </c>
      <c r="F7" s="9">
        <f>Assumptions!B7</f>
        <v>0.15176444718938426</v>
      </c>
      <c r="G7" s="9">
        <f>Assumptions!B7</f>
        <v>0.15176444718938426</v>
      </c>
      <c r="H7" s="9">
        <f>Assumptions!B7</f>
        <v>0.15176444718938426</v>
      </c>
      <c r="I7" s="9">
        <f>Assumptions!B7</f>
        <v>0.15176444718938426</v>
      </c>
      <c r="J7" s="9">
        <f>Assumptions!B7</f>
        <v>0.15176444718938426</v>
      </c>
      <c r="K7" s="9">
        <f>Assumptions!B7</f>
        <v>0.15176444718938426</v>
      </c>
    </row>
    <row r="8" spans="1:11" x14ac:dyDescent="0.25">
      <c r="A8" t="s">
        <v>51</v>
      </c>
      <c r="B8" s="18">
        <f>B6*B7</f>
        <v>2327756121.967361</v>
      </c>
      <c r="C8" s="18">
        <f>C6*C7</f>
        <v>2431121299.491933</v>
      </c>
      <c r="D8" s="18">
        <f>D6*D7</f>
        <v>2533179318.597121</v>
      </c>
      <c r="E8" s="18">
        <f>E6*E7</f>
        <v>2633377012.502146</v>
      </c>
      <c r="F8" s="18">
        <f>F6*F7</f>
        <v>2731150188.481687</v>
      </c>
      <c r="G8" s="18">
        <f>G6*G7</f>
        <v>2825928612.474621</v>
      </c>
      <c r="H8" s="18">
        <f>H6*H7</f>
        <v>2917141288.308782</v>
      </c>
      <c r="I8" s="18">
        <f>I6*I7</f>
        <v>3004221967.789807</v>
      </c>
      <c r="J8" s="18">
        <f>J6*J7</f>
        <v>3086614821.1511784</v>
      </c>
      <c r="K8" s="18">
        <f>K6*K7</f>
        <v>3163780191.6799574</v>
      </c>
    </row>
    <row r="9" spans="1:11" x14ac:dyDescent="0.25">
      <c r="A9" t="s">
        <v>52</v>
      </c>
      <c r="B9" s="18">
        <f>B8*(1-Assumptions!B8)</f>
        <v>1838927336.3542151</v>
      </c>
      <c r="C9" s="18">
        <f>C8*(1-Assumptions!B8)</f>
        <v>1920585826.598627</v>
      </c>
      <c r="D9" s="18">
        <f>D8*(1-Assumptions!B8)</f>
        <v>2001211661.6917255</v>
      </c>
      <c r="E9" s="18">
        <f>E8*(1-Assumptions!B8)</f>
        <v>2080367839.8766952</v>
      </c>
      <c r="F9" s="18">
        <f>F8*(1-Assumptions!B8)</f>
        <v>2157608648.9005327</v>
      </c>
      <c r="G9" s="18">
        <f>G8*(1-Assumptions!B8)</f>
        <v>2232483603.8549504</v>
      </c>
      <c r="H9" s="18">
        <f>H8*(1-Assumptions!B8)</f>
        <v>2304541617.763938</v>
      </c>
      <c r="I9" s="18">
        <f>I8*(1-Assumptions!B8)</f>
        <v>2373335354.5539474</v>
      </c>
      <c r="J9" s="18">
        <f>J8*(1-Assumptions!B8)</f>
        <v>2438425708.709431</v>
      </c>
      <c r="K9" s="18">
        <f>K8*(1-Assumptions!B8)</f>
        <v>2499386351.4271665</v>
      </c>
    </row>
    <row r="10" spans="1:11" x14ac:dyDescent="0.25">
      <c r="A10" t="s">
        <v>53</v>
      </c>
      <c r="B10" s="18">
        <f>B6*Assumptions!B9</f>
        <v>200767899.709418</v>
      </c>
      <c r="C10" s="18">
        <f>C6*Assumptions!B9</f>
        <v>209683098.94307312</v>
      </c>
      <c r="D10" s="18">
        <f>D6*Assumptions!B9</f>
        <v>218485556.36156535</v>
      </c>
      <c r="E10" s="18">
        <f>E6*Assumptions!B9</f>
        <v>227127561.58333105</v>
      </c>
      <c r="F10" s="18">
        <f>F6*Assumptions!B9</f>
        <v>235560453.2441384</v>
      </c>
      <c r="G10" s="18">
        <f>G6*Assumptions!B9</f>
        <v>243735048.9173087</v>
      </c>
      <c r="H10" s="18">
        <f>H6*Assumptions!B9</f>
        <v>251602100.4444348</v>
      </c>
      <c r="I10" s="18">
        <f>I6*Assumptions!B9</f>
        <v>259112769.1780211</v>
      </c>
      <c r="J10" s="18">
        <f>J6*Assumptions!B9</f>
        <v>266219115.05520344</v>
      </c>
      <c r="K10" s="18">
        <f>K6*Assumptions!B9</f>
        <v>272874592.93158346</v>
      </c>
    </row>
    <row r="11" spans="1:11" x14ac:dyDescent="0.25">
      <c r="A11" t="s">
        <v>54</v>
      </c>
      <c r="B11" s="18">
        <f>-B6*B19</f>
        <v>-153379540.8</v>
      </c>
      <c r="C11" s="18">
        <f>-C6*C19</f>
        <v>-166567109.28495225</v>
      </c>
      <c r="D11" s="18">
        <f>-D6*D19</f>
        <v>-180203930.1251481</v>
      </c>
      <c r="E11" s="18">
        <f>-E6*E19</f>
        <v>-194238915.74843314</v>
      </c>
      <c r="F11" s="18">
        <f>-F6*F19</f>
        <v>-208614332.70236146</v>
      </c>
      <c r="G11" s="18">
        <f>-G6*G19</f>
        <v>-223266050.86781207</v>
      </c>
      <c r="H11" s="18">
        <f>-H6*H19</f>
        <v>-238123895.1677014</v>
      </c>
      <c r="I11" s="18">
        <f>-I6*I19</f>
        <v>-253112099.80886692</v>
      </c>
      <c r="J11" s="18">
        <f>-J6*J19</f>
        <v>-268149863.17096803</v>
      </c>
      <c r="K11" s="18">
        <f>-K6*K19</f>
        <v>-283151999.46827346</v>
      </c>
    </row>
    <row r="12" spans="1:11" x14ac:dyDescent="0.25">
      <c r="A12" t="s">
        <v>55</v>
      </c>
      <c r="B12" s="18">
        <f>-(B6-Assumptions!B29)*Assumptions!B11</f>
        <v>-135630993.86136788</v>
      </c>
      <c r="C12" s="18">
        <f>-(C6-B6)*Assumptions!B11</f>
        <v>-101853945.26124397</v>
      </c>
      <c r="D12" s="18">
        <f>-(D6-C6)*Assumptions!B11</f>
        <v>-100565897.91992278</v>
      </c>
      <c r="E12" s="18">
        <f>-(E6-D6)*Assumptions!B11</f>
        <v>-98732771.27472857</v>
      </c>
      <c r="F12" s="18">
        <f>-(F6-E6)*Assumptions!B11</f>
        <v>-96343700.5839884</v>
      </c>
      <c r="G12" s="18">
        <f>-(G6-F6)*Assumptions!B11</f>
        <v>-93392732.8381787</v>
      </c>
      <c r="H12" s="18">
        <f>-(H6-G6)*Assumptions!B11</f>
        <v>-89879117.06856704</v>
      </c>
      <c r="I12" s="18">
        <f>-(I6-H6)*Assumptions!B11</f>
        <v>-85807531.83598772</v>
      </c>
      <c r="J12" s="18">
        <f>-(J6-I6)*Assumptions!B11</f>
        <v>-81188243.24750865</v>
      </c>
      <c r="K12" s="18">
        <f>-(K6-J6)*Assumptions!B11</f>
        <v>-76037187.90144269</v>
      </c>
    </row>
    <row r="13" spans="1:11" x14ac:dyDescent="0.25">
      <c r="A13" s="19" t="s">
        <v>56</v>
      </c>
      <c r="B13" s="20">
        <f>B9+B10+B11+B12</f>
        <v>1750684701.4022653</v>
      </c>
      <c r="C13" s="20">
        <f>C9+C10+C11+C12</f>
        <v>1861847870.995504</v>
      </c>
      <c r="D13" s="20">
        <f>D9+D10+D11+D12</f>
        <v>1938927390.00822</v>
      </c>
      <c r="E13" s="20">
        <f>E9+E10+E11+E12</f>
        <v>2014523714.4368646</v>
      </c>
      <c r="F13" s="20">
        <f>F9+F10+F11+F12</f>
        <v>2088211068.858321</v>
      </c>
      <c r="G13" s="20">
        <f>G9+G10+G11+G12</f>
        <v>2159559869.0662684</v>
      </c>
      <c r="H13" s="20">
        <f>H9+H10+H11+H12</f>
        <v>2228140705.972104</v>
      </c>
      <c r="I13" s="20">
        <f>I9+I10+I11+I12</f>
        <v>2293528492.087114</v>
      </c>
      <c r="J13" s="20">
        <f>J9+J10+J11+J12</f>
        <v>2355306717.346158</v>
      </c>
      <c r="K13" s="20">
        <f>K9+K10+K11+K12</f>
        <v>2413071756.9890337</v>
      </c>
    </row>
    <row r="14" spans="1:11" x14ac:dyDescent="0.25">
      <c r="A14" t="s">
        <v>57</v>
      </c>
      <c r="B14" s="21">
        <f>1/(1+Assumptions!$B$26)^(1-0.5*Assumptions!$B$32)</f>
        <v>0.9623511641890087</v>
      </c>
      <c r="C14" s="21">
        <f>1/(1+Assumptions!$B$26)^(2-0.5*Assumptions!$B$32)</f>
        <v>0.8912524323093096</v>
      </c>
      <c r="D14" s="21">
        <f>1/(1+Assumptions!$B$26)^(3-0.5*Assumptions!$B$32)</f>
        <v>0.8254064915759288</v>
      </c>
      <c r="E14" s="21">
        <f>1/(1+Assumptions!$B$26)^(4-0.5*Assumptions!$B$32)</f>
        <v>0.7644252645351994</v>
      </c>
      <c r="F14" s="21">
        <f>1/(1+Assumptions!$B$26)^(5-0.5*Assumptions!$B$32)</f>
        <v>0.7079493449876215</v>
      </c>
      <c r="G14" s="21">
        <f>1/(1+Assumptions!$B$26)^(6-0.5*Assumptions!$B$32)</f>
        <v>0.6556458797488163</v>
      </c>
      <c r="H14" s="21">
        <f>1/(1+Assumptions!$B$26)^(7-0.5*Assumptions!$B$32)</f>
        <v>0.6072066069064808</v>
      </c>
      <c r="I14" s="21">
        <f>1/(1+Assumptions!$B$26)^(8-0.5*Assumptions!$B$32)</f>
        <v>0.5623460390113846</v>
      </c>
      <c r="J14" s="21">
        <f>1/(1+Assumptions!$B$26)^(9-0.5*Assumptions!$B$32)</f>
        <v>0.5207997804946456</v>
      </c>
      <c r="K14" s="21">
        <f>1/(1+Assumptions!$B$26)^(10-0.5*Assumptions!$B$32)</f>
        <v>0.482322969394615</v>
      </c>
    </row>
    <row r="15" spans="1:11" x14ac:dyDescent="0.25">
      <c r="A15" s="19" t="s">
        <v>58</v>
      </c>
      <c r="B15" s="20">
        <f>B13*B14</f>
        <v>1684773460.522357</v>
      </c>
      <c r="C15" s="20">
        <f>C13*C14</f>
        <v>1659376443.6146526</v>
      </c>
      <c r="D15" s="20">
        <f>D13*D14</f>
        <v>1600403254.4071574</v>
      </c>
      <c r="E15" s="20">
        <f>E13*E14</f>
        <v>1539952823.3208327</v>
      </c>
      <c r="F15" s="20">
        <f>F13*F14</f>
        <v>1478347658.3941493</v>
      </c>
      <c r="G15" s="20">
        <f>G13*G14</f>
        <v>1415906530.2241921</v>
      </c>
      <c r="H15" s="20">
        <f>H13*H14</f>
        <v>1352941757.783532</v>
      </c>
      <c r="I15" s="20">
        <f>I13*I14</f>
        <v>1289756662.8849423</v>
      </c>
      <c r="J15" s="20">
        <f>J13*J14</f>
        <v>1226643221.3914433</v>
      </c>
      <c r="K15" s="20">
        <f>K13*K14</f>
        <v>1163879935.1932316</v>
      </c>
    </row>
    <row r="17" spans="1:2" x14ac:dyDescent="0.25">
      <c r="A17" s="22" t="s">
        <v>59</v>
      </c>
      <c r="B17" s="23">
        <f>SUM(B15:K15)</f>
        <v>14411981747.73649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0.010398068276497537</v>
      </c>
      <c r="D19" s="9">
        <f>Assumptions!$B$10+($B$20-Assumptions!$B$10)*2/9</f>
        <v>0.010796136552995073</v>
      </c>
      <c r="E19" s="9">
        <f>Assumptions!$B$10+($B$20-Assumptions!$B$10)*3/9</f>
        <v>0.01119420482949261</v>
      </c>
      <c r="F19" s="9">
        <f>Assumptions!$B$10+($B$20-Assumptions!$B$10)*4/9</f>
        <v>0.011592273105990144</v>
      </c>
      <c r="G19" s="9">
        <f>Assumptions!$B$10+($B$20-Assumptions!$B$10)*5/9</f>
        <v>0.011990341382487682</v>
      </c>
      <c r="H19" s="9">
        <f>Assumptions!$B$10+($B$20-Assumptions!$B$10)*6/9</f>
        <v>0.012388409658985217</v>
      </c>
      <c r="I19" s="9">
        <f>Assumptions!$B$10+($B$20-Assumptions!$B$10)*7/9</f>
        <v>0.012786477935482753</v>
      </c>
      <c r="J19" s="9">
        <f>Assumptions!$B$10+($B$20-Assumptions!$B$10)*8/9</f>
        <v>0.01318454621198029</v>
      </c>
      <c r="K19" s="9">
        <f>Assumptions!$B$10+($B$20-Assumptions!$B$10)*9/9</f>
        <v>0.013582614488477826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0.013582614488477826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2413071756.9890337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2576062593.981747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0.04166666666666667</v>
      </c>
    </row>
    <row r="7" spans="1:2" x14ac:dyDescent="0.25">
      <c r="A7" t="s">
        <v>66</v>
      </c>
      <c r="B7" s="18">
        <f>-MAX(B5,0)*B6</f>
        <v>-107335941.41590615</v>
      </c>
    </row>
    <row r="8" spans="1:2" x14ac:dyDescent="0.25">
      <c r="A8" t="s">
        <v>67</v>
      </c>
      <c r="B8" s="18">
        <f>IF(OR(Assumptions!$B$33=0,Assumptions!B12&lt;=0),B5,MAX(B5+B7,0))</f>
        <v>2468726652.565841</v>
      </c>
    </row>
    <row r="9" spans="1:2" x14ac:dyDescent="0.25">
      <c r="A9" t="s">
        <v>68</v>
      </c>
      <c r="B9" s="18">
        <f>B8*(1+Assumptions!B12)/(Assumptions!B26-Assumptions!B12)</f>
        <v>46197956592.72078</v>
      </c>
    </row>
    <row r="10" spans="1:2" x14ac:dyDescent="0.25">
      <c r="A10" t="s">
        <v>69</v>
      </c>
      <c r="B10" s="18">
        <f>B9/(1+Assumptions!B26)^(10-0.5*Assumptions!B32)</f>
        <v>22282335603.764618</v>
      </c>
    </row>
    <row r="11" spans="1:2" x14ac:dyDescent="0.25">
      <c r="A11" t="s">
        <v>70</v>
      </c>
      <c r="B11" s="18">
        <f>Forecast!B17+B10</f>
        <v>36694317351.50111</v>
      </c>
    </row>
    <row r="12" spans="1:2" x14ac:dyDescent="0.25">
      <c r="A12" t="s">
        <v>71</v>
      </c>
      <c r="B12" s="18">
        <f>-Assumptions!B30</f>
        <v>-7415000000</v>
      </c>
    </row>
    <row r="13" spans="1:2" x14ac:dyDescent="0.25">
      <c r="A13" t="s">
        <v>72</v>
      </c>
      <c r="B13" s="18">
        <f>B11+B12</f>
        <v>29279317351.501106</v>
      </c>
    </row>
    <row r="14" spans="1:2" x14ac:dyDescent="0.25">
      <c r="A14" s="19" t="s">
        <v>73</v>
      </c>
      <c r="B14" s="24">
        <f>B13/Assumptions!B31</f>
        <v>74.14362459230465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3436654784.611541</v>
      </c>
    </row>
    <row r="18" spans="1:2" x14ac:dyDescent="0.25">
      <c r="A18" t="s">
        <v>68</v>
      </c>
      <c r="B18" s="18">
        <f>B17*Assumptions!B13</f>
        <v>52043387824.498665</v>
      </c>
    </row>
    <row r="19" spans="1:2" x14ac:dyDescent="0.25">
      <c r="A19" t="s">
        <v>69</v>
      </c>
      <c r="B19" s="18">
        <f>B18/(1+Assumptions!B26)^(10-0.5*Assumptions!B32)</f>
        <v>25101721352.86775</v>
      </c>
    </row>
    <row r="20" spans="1:2" x14ac:dyDescent="0.25">
      <c r="A20" t="s">
        <v>70</v>
      </c>
      <c r="B20" s="18">
        <f>Forecast!B17+B19</f>
        <v>39513703100.60424</v>
      </c>
    </row>
    <row r="21" spans="1:2" x14ac:dyDescent="0.25">
      <c r="A21" t="s">
        <v>71</v>
      </c>
      <c r="B21" s="18">
        <f>-Assumptions!B30</f>
        <v>-7415000000</v>
      </c>
    </row>
    <row r="22" spans="1:2" x14ac:dyDescent="0.25">
      <c r="A22" t="s">
        <v>72</v>
      </c>
      <c r="B22" s="18">
        <f>B20+B21</f>
        <v>32098703100.60424</v>
      </c>
    </row>
    <row r="23" spans="1:2" x14ac:dyDescent="0.25">
      <c r="A23" s="19" t="s">
        <v>73</v>
      </c>
      <c r="B23" s="25">
        <f>B22/Assumptions!B31</f>
        <v>81.28311749963089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75.75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74.14362459230465</v>
      </c>
    </row>
    <row r="29" spans="1:2" x14ac:dyDescent="0.25">
      <c r="A29" s="19" t="s">
        <v>81</v>
      </c>
      <c r="B29" s="11">
        <f>B28/B26-1</f>
        <v>-0.02120627600917957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0.059774</v>
      </c>
      <c r="B5" s="31">
        <v>104.49306301002449</v>
      </c>
      <c r="C5" s="31">
        <v>114.42239490223834</v>
      </c>
      <c r="D5" s="31">
        <v>127.24687622997023</v>
      </c>
      <c r="E5" s="31">
        <v>144.4250695488985</v>
      </c>
      <c r="F5" s="31">
        <v>168.59303201038946</v>
      </c>
    </row>
    <row r="6" spans="1:6" x14ac:dyDescent="0.25">
      <c r="A6" s="30">
        <v>0.069774</v>
      </c>
      <c r="B6" s="31">
        <v>81.76621700298314</v>
      </c>
      <c r="C6" s="31">
        <v>87.59481539916281</v>
      </c>
      <c r="D6" s="31">
        <v>94.75437019358637</v>
      </c>
      <c r="E6" s="31">
        <v>103.74682602279168</v>
      </c>
      <c r="F6" s="31">
        <v>115.36281714000614</v>
      </c>
    </row>
    <row r="7" spans="1:6" x14ac:dyDescent="0.25">
      <c r="A7" s="30">
        <v>0.079774</v>
      </c>
      <c r="B7" s="31">
        <v>66.08815507541657</v>
      </c>
      <c r="C7" s="31">
        <v>69.76860958091456</v>
      </c>
      <c r="D7" s="32">
        <v>74.14354966551728</v>
      </c>
      <c r="E7" s="31">
        <v>79.42226700131403</v>
      </c>
      <c r="F7" s="31">
        <v>85.90754129902774</v>
      </c>
    </row>
    <row r="8" spans="1:6" x14ac:dyDescent="0.25">
      <c r="A8" s="30">
        <v>0.089774</v>
      </c>
      <c r="B8" s="31">
        <v>54.62855008019705</v>
      </c>
      <c r="C8" s="31">
        <v>57.07168637197097</v>
      </c>
      <c r="D8" s="31">
        <v>59.910049027578104</v>
      </c>
      <c r="E8" s="31">
        <v>63.242818216615554</v>
      </c>
      <c r="F8" s="31">
        <v>67.20538843284781</v>
      </c>
    </row>
    <row r="9" spans="1:6" x14ac:dyDescent="0.25">
      <c r="A9" s="30">
        <v>0.099774</v>
      </c>
      <c r="B9" s="31">
        <v>45.892734919538945</v>
      </c>
      <c r="C9" s="31">
        <v>47.57364242832722</v>
      </c>
      <c r="D9" s="31">
        <v>49.494157391351955</v>
      </c>
      <c r="E9" s="31">
        <v>51.70579056926255</v>
      </c>
      <c r="F9" s="31">
        <v>54.27595748716607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14431000000</v>
      </c>
      <c r="C5" s="18">
        <v>14261000000</v>
      </c>
      <c r="D5" s="18">
        <v>14209000000</v>
      </c>
      <c r="E5" s="18">
        <v>13685000000</v>
      </c>
      <c r="F5" s="6" t="s">
        <v>91</v>
      </c>
    </row>
    <row r="6" spans="1:6" x14ac:dyDescent="0.25">
      <c r="A6" t="s">
        <v>51</v>
      </c>
      <c r="B6" s="18">
        <v>2219000000</v>
      </c>
      <c r="C6" s="18">
        <v>2051000000</v>
      </c>
      <c r="D6" s="18">
        <v>2247000000</v>
      </c>
      <c r="E6" s="18">
        <v>2071000000</v>
      </c>
      <c r="F6" s="6" t="s">
        <v>92</v>
      </c>
    </row>
    <row r="7" spans="1:6" x14ac:dyDescent="0.25">
      <c r="A7" t="s">
        <v>93</v>
      </c>
      <c r="B7" s="18">
        <v>175000000</v>
      </c>
      <c r="C7" s="18">
        <v>181000000</v>
      </c>
      <c r="D7" s="18">
        <v>193000000</v>
      </c>
      <c r="E7" s="18">
        <v>191000000</v>
      </c>
      <c r="F7" s="6" t="s">
        <v>94</v>
      </c>
    </row>
    <row r="8" spans="1:6" x14ac:dyDescent="0.25">
      <c r="A8" t="s">
        <v>95</v>
      </c>
      <c r="B8" s="18">
        <v>152000000</v>
      </c>
      <c r="C8" s="18">
        <v>126000000</v>
      </c>
      <c r="D8" s="18">
        <v>138000000</v>
      </c>
      <c r="E8" s="18">
        <v>115000000</v>
      </c>
      <c r="F8" s="6" t="s">
        <v>96</v>
      </c>
    </row>
    <row r="9" spans="1:6" x14ac:dyDescent="0.25">
      <c r="A9" t="s">
        <v>97</v>
      </c>
      <c r="B9" s="18">
        <v>-59000000</v>
      </c>
      <c r="C9" s="18">
        <v>294000000</v>
      </c>
      <c r="D9" s="18">
        <v>31000000</v>
      </c>
      <c r="E9" s="18">
        <v>96000000</v>
      </c>
      <c r="F9" s="6" t="s">
        <v>98</v>
      </c>
    </row>
    <row r="10" spans="1:6" x14ac:dyDescent="0.25">
      <c r="A10" t="s">
        <v>99</v>
      </c>
      <c r="B10" s="18">
        <v>8511000000</v>
      </c>
      <c r="C10" s="18">
        <v>8742000000</v>
      </c>
      <c r="D10" s="18">
        <v>7307000000</v>
      </c>
      <c r="E10" s="18">
        <v>7210000000</v>
      </c>
      <c r="F10" s="6" t="s">
        <v>100</v>
      </c>
    </row>
    <row r="11" spans="1:6" x14ac:dyDescent="0.25">
      <c r="A11" t="s">
        <v>101</v>
      </c>
      <c r="B11" s="18">
        <v>1096000000</v>
      </c>
      <c r="C11" s="18">
        <v>2300000000</v>
      </c>
      <c r="D11" s="18">
        <v>1274000000</v>
      </c>
      <c r="E11" s="18">
        <v>1189000000</v>
      </c>
      <c r="F11" s="6" t="s">
        <v>102</v>
      </c>
    </row>
    <row r="12" spans="1:6" x14ac:dyDescent="0.25">
      <c r="A12" t="s">
        <v>34</v>
      </c>
      <c r="B12" s="34">
        <v>394900000</v>
      </c>
      <c r="C12" s="34">
        <v>404400000</v>
      </c>
      <c r="D12" s="34">
        <v>414600000</v>
      </c>
      <c r="E12" s="34">
        <v>423000000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