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<sst xmlns="http://schemas.openxmlformats.org/spreadsheetml/2006/main" count="111" uniqueCount="99">
  <si>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Occidental Petroleum Corporation (OXY)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</si>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</sst>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-0.16155184276526158</v>
      </c>
    </row>
    <row r="7" spans="1:2" x14ac:dyDescent="0.25">
      <c r="A7" t="s">
        <v>5</v>
      </c>
      <c r="B7" s="6">
        <v>0.24100149485826405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0.283026661084278</v>
      </c>
    </row>
    <row r="10" spans="1:2" x14ac:dyDescent="0.25">
      <c r="A10" t="s">
        <v>8</v>
      </c>
      <c r="B10" s="6">
        <v>0.23770437589906576</v>
      </c>
    </row>
    <row r="11" spans="1:2" x14ac:dyDescent="0.25">
      <c r="A11" t="s">
        <v>9</v>
      </c>
      <c r="B11" s="6">
        <v>0.010387297818667459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7.125869604620169</v>
      </c>
    </row>
    <row r="14" spans="1:3" x14ac:dyDescent="0.25">
      <c r="A14" t="s">
        <v>12</v>
      </c>
      <c r="B14" s="6">
        <v>0.08207850746039894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0.43987999999999994</v>
      </c>
      <c r="C19" s="8" t="s">
        <v>19</v>
      </c>
    </row>
    <row r="20" spans="1:2" x14ac:dyDescent="0.25">
      <c r="A20" t="s">
        <v>20</v>
      </c>
      <c r="B20" s="10">
        <f>B17+B19*B18</f>
        <v>0.0741734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58818662400</v>
      </c>
    </row>
    <row r="23" spans="1:2" x14ac:dyDescent="0.25">
      <c r="A23" t="s">
        <v>24</v>
      </c>
      <c r="B23" s="11">
        <v>23351000000</v>
      </c>
    </row>
    <row r="24" spans="1:2" x14ac:dyDescent="0.25">
      <c r="A24" t="s">
        <v>25</v>
      </c>
      <c r="B24" s="10">
        <f>B22/(B22+B23)</f>
        <v>0.715819691623803</v>
      </c>
    </row>
    <row r="25" spans="1:2" x14ac:dyDescent="0.25">
      <c r="A25" t="s">
        <v>26</v>
      </c>
      <c r="B25" s="10">
        <f>1-B24</f>
        <v>0.284180308376197</v>
      </c>
    </row>
    <row r="26" spans="1:2" x14ac:dyDescent="0.25">
      <c r="A26" t="s">
        <v>27</v>
      </c>
      <c r="B26" s="12">
        <f>B24*B20+B25*B21*(1-B8)</f>
        <v>0.06431541244667643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21593000000</v>
      </c>
      <c r="C29" s="8" t="s">
        <v>30</v>
      </c>
    </row>
    <row r="30" spans="1:2" x14ac:dyDescent="0.25">
      <c r="A30" t="s">
        <v>31</v>
      </c>
      <c r="B30" s="11">
        <v>21383000000</v>
      </c>
    </row>
    <row r="31" spans="1:2" x14ac:dyDescent="0.25">
      <c r="A31" t="s">
        <v>32</v>
      </c>
      <c r="B31" s="13">
        <v>1000100000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-0.16155184276526158</v>
      </c>
      <c r="C5" s="10">
        <f>Assumptions!B6</f>
        <v>-0.16155184276526158</v>
      </c>
      <c r="D5" s="10">
        <f>Assumptions!B6</f>
        <v>-0.16155184276526158</v>
      </c>
      <c r="E5" s="10">
        <f>Assumptions!B6</f>
        <v>-0.16155184276526158</v>
      </c>
      <c r="F5" s="10">
        <f>Assumptions!B6</f>
        <v>-0.16155184276526158</v>
      </c>
    </row>
    <row r="6" spans="1:6" x14ac:dyDescent="0.25">
      <c r="A6" t="s">
        <v>43</v>
      </c>
      <c r="B6" s="18">
        <f>Assumptions!B29*(1+B5)</f>
        <v>18104611059.16971</v>
      </c>
      <c r="C6" s="18">
        <f>B6*(1+C5)</f>
        <v>15179777780.012508</v>
      </c>
      <c r="D6" s="18">
        <f>C6*(1+D5)</f>
        <v>12727456706.884315</v>
      </c>
      <c r="E6" s="18">
        <f>D6*(1+E5)</f>
        <v>10671312622.172066</v>
      </c>
      <c r="F6" s="18">
        <f>E6*(1+F5)</f>
        <v>8947342403.335974</v>
      </c>
    </row>
    <row r="7" spans="1:6" x14ac:dyDescent="0.25">
      <c r="A7" t="s">
        <v>5</v>
      </c>
      <c r="B7" s="10">
        <f>Assumptions!B7</f>
        <v>0.24100149485826405</v>
      </c>
      <c r="C7" s="10">
        <f>Assumptions!B7</f>
        <v>0.24100149485826405</v>
      </c>
      <c r="D7" s="10">
        <f>Assumptions!B7</f>
        <v>0.24100149485826405</v>
      </c>
      <c r="E7" s="10">
        <f>Assumptions!B7</f>
        <v>0.24100149485826405</v>
      </c>
      <c r="F7" s="10">
        <f>Assumptions!B7</f>
        <v>0.24100149485826405</v>
      </c>
    </row>
    <row r="8" spans="1:6" x14ac:dyDescent="0.25">
      <c r="A8" t="s">
        <v>44</v>
      </c>
      <c r="B8" s="18">
        <f>B6*B7</f>
        <v>4363238329.087359</v>
      </c>
      <c r="C8" s="18">
        <f>C6*C7</f>
        <v>3658349136.5992756</v>
      </c>
      <c r="D8" s="18">
        <f>D6*D7</f>
        <v>3067336092.1029587</v>
      </c>
      <c r="E8" s="18">
        <f>E6*E7</f>
        <v>2571802294.0433292</v>
      </c>
      <c r="F8" s="18">
        <f>F6*F7</f>
        <v>2156322894.2127028</v>
      </c>
    </row>
    <row r="9" spans="1:6" x14ac:dyDescent="0.25">
      <c r="A9" t="s">
        <v>45</v>
      </c>
      <c r="B9" s="18">
        <f>B8*(1-Assumptions!B8)</f>
        <v>3446958279.979014</v>
      </c>
      <c r="C9" s="18">
        <f>C8*(1-Assumptions!B8)</f>
        <v>2890095817.913428</v>
      </c>
      <c r="D9" s="18">
        <f>D8*(1-Assumptions!B8)</f>
        <v>2423195512.7613373</v>
      </c>
      <c r="E9" s="18">
        <f>E8*(1-Assumptions!B8)</f>
        <v>2031723812.2942302</v>
      </c>
      <c r="F9" s="18">
        <f>F8*(1-Assumptions!B8)</f>
        <v>1703495086.4280353</v>
      </c>
    </row>
    <row r="10" spans="1:6" x14ac:dyDescent="0.25">
      <c r="A10" t="s">
        <v>46</v>
      </c>
      <c r="B10" s="18">
        <f>B6*Assumptions!B9</f>
        <v>5124087618.306296</v>
      </c>
      <c r="C10" s="18">
        <f>C6*Assumptions!B9</f>
        <v>4296281821.078254</v>
      </c>
      <c r="D10" s="18">
        <f>D6*Assumptions!B9</f>
        <v>3602209575.8441677</v>
      </c>
      <c r="E10" s="18">
        <f>E6*Assumptions!B9</f>
        <v>3020265980.839871</v>
      </c>
      <c r="F10" s="18">
        <f>F6*Assumptions!B9</f>
        <v>2532336445.99396</v>
      </c>
    </row>
    <row r="11" spans="1:6" x14ac:dyDescent="0.25">
      <c r="A11" t="s">
        <v>47</v>
      </c>
      <c r="B11" s="18">
        <f>-B6*Assumptions!B10</f>
        <v>-4303545272.71526</v>
      </c>
      <c r="C11" s="18">
        <f>-C6*Assumptions!B10</f>
        <v>-3608299603.4843793</v>
      </c>
      <c r="D11" s="18">
        <f>-D6*Assumptions!B10</f>
        <v>-3025372153.292315</v>
      </c>
      <c r="E11" s="18">
        <f>-E6*Assumptions!B10</f>
        <v>-2536617706.877234</v>
      </c>
      <c r="F11" s="18">
        <f>-F6*Assumptions!B10</f>
        <v>-2126822441.940225</v>
      </c>
    </row>
    <row r="12" spans="1:6" x14ac:dyDescent="0.25">
      <c r="A12" t="s">
        <v>48</v>
      </c>
      <c r="B12" s="18">
        <f>-(B6-Assumptions!B29)*Assumptions!B11</f>
        <v>36234934.83575018</v>
      </c>
      <c r="C12" s="18">
        <f>-(C6-B6)*Assumptions!B11</f>
        <v>30381114.34055557</v>
      </c>
      <c r="D12" s="18">
        <f>-(D6-C6)*Assumptions!B11</f>
        <v>25472989.33357672</v>
      </c>
      <c r="E12" s="18">
        <f>-(E6-D6)*Assumptions!B11</f>
        <v>21357780.96599755</v>
      </c>
      <c r="F12" s="18">
        <f>-(F6-E6)*Assumptions!B11</f>
        <v>17907392.0935638</v>
      </c>
    </row>
    <row r="13" spans="1:6" x14ac:dyDescent="0.25">
      <c r="A13" s="19" t="s">
        <v>49</v>
      </c>
      <c r="B13" s="20">
        <f>B9+B10+B11+B12</f>
        <v>4303735560.405802</v>
      </c>
      <c r="C13" s="20">
        <f>C9+C10+C11+C12</f>
        <v>3608459149.8478584</v>
      </c>
      <c r="D13" s="20">
        <f>D9+D10+D11+D12</f>
        <v>3025505924.6467667</v>
      </c>
      <c r="E13" s="20">
        <f>E9+E10+E11+E12</f>
        <v>2536729867.2228646</v>
      </c>
      <c r="F13" s="20">
        <f>F9+F10+F11+F12</f>
        <v>2126916482.575334</v>
      </c>
    </row>
    <row r="14" spans="1:6" x14ac:dyDescent="0.25">
      <c r="A14" t="s">
        <v>50</v>
      </c>
      <c r="B14" s="21">
        <f>1/(1+Assumptions!$B$26)^(1-0.5*Assumptions!$B$32)</f>
        <v>0.9693147565940077</v>
      </c>
      <c r="C14" s="21">
        <f>1/(1+Assumptions!$B$26)^(2-0.5*Assumptions!$B$32)</f>
        <v>0.9107401295314528</v>
      </c>
      <c r="D14" s="21">
        <f>1/(1+Assumptions!$B$26)^(3-0.5*Assumptions!$B$32)</f>
        <v>0.8557051029053683</v>
      </c>
      <c r="E14" s="21">
        <f>1/(1+Assumptions!$B$26)^(4-0.5*Assumptions!$B$32)</f>
        <v>0.803995782545562</v>
      </c>
      <c r="F14" s="21">
        <f>1/(1+Assumptions!$B$26)^(5-0.5*Assumptions!$B$32)</f>
        <v>0.7554111996718296</v>
      </c>
    </row>
    <row r="15" spans="1:6" x14ac:dyDescent="0.25">
      <c r="A15" s="19" t="s">
        <v>51</v>
      </c>
      <c r="B15" s="20">
        <f>B13*B14</f>
        <v>4171674387.179725</v>
      </c>
      <c r="C15" s="20">
        <f>C13*C14</f>
        <v>3286368553.5413947</v>
      </c>
      <c r="D15" s="20">
        <f>D13*D14</f>
        <v>2588940858.590663</v>
      </c>
      <c r="E15" s="20">
        <f>E13*E14</f>
        <v>2039520114.7045467</v>
      </c>
      <c r="F15" s="20">
        <f>F13*F14</f>
        <v>1606696531.7040212</v>
      </c>
    </row>
    <row r="17" spans="1:2" x14ac:dyDescent="0.25">
      <c r="A17" s="22" t="s">
        <v>52</v>
      </c>
      <c r="B17" s="23">
        <f>SUM(B15:F15)</f>
        <v>13693200445.72035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2126916482.575334</v>
      </c>
    </row>
    <row r="5" spans="1:2" x14ac:dyDescent="0.25">
      <c r="A5" t="s">
        <v>56</v>
      </c>
      <c r="B5" s="18">
        <f>IF(Assumptions!$B$33=0,B4,B4-Forecast!F11-Forecast!F10-Forecast!F12)</f>
        <v>1703495086.4280353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0.304586435274325</v>
      </c>
    </row>
    <row r="7" spans="1:2" x14ac:dyDescent="0.25">
      <c r="A7" t="s">
        <v>58</v>
      </c>
      <c r="B7" s="18">
        <f>-MAX(Forecast!F9,0)*B6</f>
        <v>-518861495.8824434</v>
      </c>
    </row>
    <row r="8" spans="1:2" x14ac:dyDescent="0.25">
      <c r="A8" t="s">
        <v>59</v>
      </c>
      <c r="B8" s="18">
        <f>IF(OR(Assumptions!$B$33=0,Assumptions!B12&lt;=0),B5,MAX(B5+B7,0))</f>
        <v>1184633590.5455918</v>
      </c>
    </row>
    <row r="9" spans="1:2" x14ac:dyDescent="0.25">
      <c r="A9" t="s">
        <v>60</v>
      </c>
      <c r="B9" s="18">
        <f>B8*(1+Assumptions!B12)/(Assumptions!B26-Assumptions!B12)</f>
        <v>30884819838.94027</v>
      </c>
    </row>
    <row r="10" spans="1:2" x14ac:dyDescent="0.25">
      <c r="A10" t="s">
        <v>61</v>
      </c>
      <c r="B10" s="18">
        <f>B9/(1+Assumptions!B26)^(5-0.5*Assumptions!B32)</f>
        <v>23330738806.18219</v>
      </c>
    </row>
    <row r="11" spans="1:2" x14ac:dyDescent="0.25">
      <c r="A11" t="s">
        <v>62</v>
      </c>
      <c r="B11" s="18">
        <f>Forecast!B17+B10</f>
        <v>37023939251.90254</v>
      </c>
    </row>
    <row r="12" spans="1:2" x14ac:dyDescent="0.25">
      <c r="A12" t="s">
        <v>63</v>
      </c>
      <c r="B12" s="18">
        <f>-Assumptions!B30</f>
        <v>-21383000000</v>
      </c>
    </row>
    <row r="13" spans="1:2" x14ac:dyDescent="0.25">
      <c r="A13" t="s">
        <v>64</v>
      </c>
      <c r="B13" s="18">
        <f>B11+B12</f>
        <v>15640939251.902542</v>
      </c>
    </row>
    <row r="14" spans="1:2" x14ac:dyDescent="0.25">
      <c r="A14" s="19" t="s">
        <v>65</v>
      </c>
      <c r="B14" s="24">
        <f>B13/Assumptions!B31</f>
        <v>15.639375314371105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4688659340.206663</v>
      </c>
    </row>
    <row r="18" spans="1:2" x14ac:dyDescent="0.25">
      <c r="A18" t="s">
        <v>60</v>
      </c>
      <c r="B18" s="18">
        <f>B17*Assumptions!B13</f>
        <v>33410775078.797115</v>
      </c>
    </row>
    <row r="19" spans="1:2" x14ac:dyDescent="0.25">
      <c r="A19" t="s">
        <v>61</v>
      </c>
      <c r="B19" s="18">
        <f>B18/(1+Assumptions!B26)^(5-0.5*Assumptions!B32)</f>
        <v>25238873684.239796</v>
      </c>
    </row>
    <row r="20" spans="1:2" x14ac:dyDescent="0.25">
      <c r="A20" t="s">
        <v>62</v>
      </c>
      <c r="B20" s="18">
        <f>Forecast!B17+B19</f>
        <v>38932074129.960144</v>
      </c>
    </row>
    <row r="21" spans="1:2" x14ac:dyDescent="0.25">
      <c r="A21" t="s">
        <v>63</v>
      </c>
      <c r="B21" s="18">
        <f>-Assumptions!B30</f>
        <v>-21383000000</v>
      </c>
    </row>
    <row r="22" spans="1:2" x14ac:dyDescent="0.25">
      <c r="A22" t="s">
        <v>64</v>
      </c>
      <c r="B22" s="18">
        <f>B20+B21</f>
        <v>17549074129.960144</v>
      </c>
    </row>
    <row r="23" spans="1:2" x14ac:dyDescent="0.25">
      <c r="A23" s="19" t="s">
        <v>65</v>
      </c>
      <c r="B23" s="25">
        <f>B22/Assumptions!B31</f>
        <v>17.547319398020342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58.84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15.639375314371105</v>
      </c>
    </row>
    <row r="29" spans="1:2" x14ac:dyDescent="0.25">
      <c r="A29" s="19" t="s">
        <v>73</v>
      </c>
      <c r="B29" s="12">
        <f>B28/B26-1</f>
        <v>-0.734205042243863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0.044315</v>
      </c>
      <c r="B5" s="31">
        <v>32.50835854087783</v>
      </c>
      <c r="C5" s="31">
        <v>37.31692155576789</v>
      </c>
      <c r="D5" s="31">
        <v>44.57083523183155</v>
      </c>
      <c r="E5" s="31">
        <v>56.83246491434331</v>
      </c>
      <c r="F5" s="31">
        <v>82.1657655251197</v>
      </c>
    </row>
    <row r="6" spans="1:6" x14ac:dyDescent="0.25">
      <c r="A6" s="30">
        <v>0.054315</v>
      </c>
      <c r="B6" s="31">
        <v>20.904088340304078</v>
      </c>
      <c r="C6" s="31">
        <v>22.76036352394136</v>
      </c>
      <c r="D6" s="31">
        <v>25.22195701967529</v>
      </c>
      <c r="E6" s="31">
        <v>28.662291598694477</v>
      </c>
      <c r="F6" s="31">
        <v>33.841456116773074</v>
      </c>
    </row>
    <row r="7" spans="1:6" x14ac:dyDescent="0.25">
      <c r="A7" s="30">
        <v>0.064315</v>
      </c>
      <c r="B7" s="31">
        <v>13.954235308843895</v>
      </c>
      <c r="C7" s="31">
        <v>14.710714552435382</v>
      </c>
      <c r="D7" s="32">
        <v>15.639671524166577</v>
      </c>
      <c r="E7" s="31">
        <v>16.816500830538896</v>
      </c>
      <c r="F7" s="31">
        <v>18.36803464005365</v>
      </c>
    </row>
    <row r="8" spans="1:6" x14ac:dyDescent="0.25">
      <c r="A8" s="30">
        <v>0.074315</v>
      </c>
      <c r="B8" s="31">
        <v>9.30688905287063</v>
      </c>
      <c r="C8" s="31">
        <v>9.57660075641949</v>
      </c>
      <c r="D8" s="31">
        <v>9.885764720455292</v>
      </c>
      <c r="E8" s="31">
        <v>10.24773497650923</v>
      </c>
      <c r="F8" s="31">
        <v>10.682658908029637</v>
      </c>
    </row>
    <row r="9" spans="1:6" x14ac:dyDescent="0.25">
      <c r="A9" s="30">
        <v>0.084315</v>
      </c>
      <c r="B9" s="31">
        <v>6.05125060090211</v>
      </c>
      <c r="C9" s="31">
        <v>6.121422466417451</v>
      </c>
      <c r="D9" s="31">
        <v>6.191594331932796</v>
      </c>
      <c r="E9" s="31">
        <v>6.261766197448141</v>
      </c>
      <c r="F9" s="31">
        <v>6.331938062963487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21593000000</v>
      </c>
      <c r="C5" s="18">
        <v>22019000000</v>
      </c>
      <c r="D5" s="18">
        <v>23156000000</v>
      </c>
      <c r="E5" s="18">
        <v>36634000000</v>
      </c>
      <c r="F5" s="8" t="s">
        <v>84</v>
      </c>
    </row>
    <row r="6" spans="1:6" x14ac:dyDescent="0.25">
      <c r="A6" t="s">
        <v>44</v>
      </c>
      <c r="B6" s="18">
        <v>3722000000</v>
      </c>
      <c r="C6" s="18">
        <v>4698000000</v>
      </c>
      <c r="D6" s="18">
        <v>4753000000</v>
      </c>
      <c r="E6" s="18">
        <v>13665000000</v>
      </c>
      <c r="F6" s="8" t="s">
        <v>85</v>
      </c>
    </row>
    <row r="7" spans="1:6" x14ac:dyDescent="0.25">
      <c r="A7" t="s">
        <v>86</v>
      </c>
      <c r="B7" s="18">
        <v>7533000000</v>
      </c>
      <c r="C7" s="18">
        <v>6951000000</v>
      </c>
      <c r="D7" s="18">
        <v>6449000000</v>
      </c>
      <c r="E7" s="18">
        <v>6926000000</v>
      </c>
      <c r="F7" s="8" t="s">
        <v>87</v>
      </c>
    </row>
    <row r="8" spans="1:6" x14ac:dyDescent="0.25">
      <c r="A8" t="s">
        <v>88</v>
      </c>
      <c r="B8" s="18">
        <v>6427000000</v>
      </c>
      <c r="C8" s="18">
        <v>6263000000</v>
      </c>
      <c r="D8" s="18">
        <v>5696000000</v>
      </c>
      <c r="E8" s="18">
        <v>4497000000</v>
      </c>
      <c r="F8" s="8" t="s">
        <v>89</v>
      </c>
    </row>
    <row r="9" spans="1:6" x14ac:dyDescent="0.25">
      <c r="A9" t="s">
        <v>90</v>
      </c>
      <c r="B9" s="18">
        <v>1067000000</v>
      </c>
      <c r="C9" s="18">
        <v>-75000000</v>
      </c>
      <c r="D9" s="18">
        <v>-140000000</v>
      </c>
      <c r="E9" s="18">
        <v>1325000000</v>
      </c>
      <c r="F9" s="8" t="s">
        <v>91</v>
      </c>
    </row>
    <row r="10" spans="1:6" x14ac:dyDescent="0.25">
      <c r="A10" t="s">
        <v>92</v>
      </c>
      <c r="B10" s="18">
        <v>23351000000</v>
      </c>
      <c r="C10" s="18">
        <v>26920000000</v>
      </c>
      <c r="D10" s="18">
        <v>20911000000</v>
      </c>
      <c r="E10" s="18">
        <v>20765000000</v>
      </c>
      <c r="F10" s="8" t="s">
        <v>93</v>
      </c>
    </row>
    <row r="11" spans="1:6" x14ac:dyDescent="0.25">
      <c r="A11" t="s">
        <v>94</v>
      </c>
      <c r="B11" s="18">
        <v>1968000000</v>
      </c>
      <c r="C11" s="18">
        <v>2125000000</v>
      </c>
      <c r="D11" s="18">
        <v>1426000000</v>
      </c>
      <c r="E11" s="18">
        <v>984000000</v>
      </c>
      <c r="F11" s="8" t="s">
        <v>95</v>
      </c>
    </row>
    <row r="12" spans="1:6" x14ac:dyDescent="0.25">
      <c r="A12" t="s">
        <v>32</v>
      </c>
      <c r="B12" s="34">
        <v>1000100000</v>
      </c>
      <c r="C12" s="34">
        <v>967100000</v>
      </c>
      <c r="D12" s="34">
        <v>960900000</v>
      </c>
      <c r="E12" s="34">
        <v>1002000000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