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<sst xmlns="http://schemas.openxmlformats.org/spreadsheetml/2006/main" count="119" uniqueCount="106">
  <si>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Occidental Petroleum Corporation (OXY)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</si>
  <si>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</si>
  <si>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</si>
  <si>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</si>
  <si>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</si>
  <si>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</si>
  <si>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</si>
  <si>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</si>
  <si>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</si>
  <si>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</si>
  <si>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</si>
  <si>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</si>
  <si>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</si>
  <si>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</si>
  <si>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</si>
  <si>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</si>
  <si>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</si>
  <si>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</si>
  <si>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</si>
  <si>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</si>
  <si>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</si>
  <si>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</si>
  <si>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</si>
  <si>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</si>
  <si>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3.4x interest cover. Book interest / average debt was lower, at 4.3%.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</si>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</sst>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0.28827062149770755</v>
      </c>
    </row>
    <row r="7" spans="1:2" x14ac:dyDescent="0.25">
      <c r="A7" t="s">
        <v>4</v>
      </c>
      <c r="B7" s="5">
        <v>0.24100149485826405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0.283026661084278</v>
      </c>
    </row>
    <row r="10" spans="1:3" x14ac:dyDescent="0.25">
      <c r="A10" t="s">
        <v>7</v>
      </c>
      <c r="B10" s="5">
        <v>0.23770437589906576</v>
      </c>
      <c r="C10" s="6" t="s">
        <v>8</v>
      </c>
    </row>
    <row r="11" spans="1:2" x14ac:dyDescent="0.25">
      <c r="A11" t="s">
        <v>9</v>
      </c>
      <c r="B11" s="5">
        <v>0.05731397818806577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7.584166331763661</v>
      </c>
    </row>
    <row r="14" spans="1:3" x14ac:dyDescent="0.25">
      <c r="A14" t="s">
        <v>12</v>
      </c>
      <c r="B14" s="5">
        <v>0.08207850746039894</v>
      </c>
      <c r="C14" s="6" t="s">
        <v>13</v>
      </c>
    </row>
    <row r="15" spans="1:3" x14ac:dyDescent="0.25">
      <c r="A15" t="s">
        <v>14</v>
      </c>
      <c r="B15" s="5">
        <v>0.283026661084278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0.49415</v>
      </c>
      <c r="C19" s="6" t="s">
        <v>21</v>
      </c>
    </row>
    <row r="20" spans="1:2" x14ac:dyDescent="0.25">
      <c r="A20" t="s">
        <v>22</v>
      </c>
      <c r="B20" s="9">
        <f>B17+B19*B18</f>
        <v>0.069842545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63976792064</v>
      </c>
    </row>
    <row r="23" spans="1:2" x14ac:dyDescent="0.25">
      <c r="A23" t="s">
        <v>26</v>
      </c>
      <c r="B23" s="10">
        <v>23351000000</v>
      </c>
    </row>
    <row r="24" spans="1:2" x14ac:dyDescent="0.25">
      <c r="A24" t="s">
        <v>27</v>
      </c>
      <c r="B24" s="9">
        <f>B22/(B22+B23)</f>
        <v>0.7326051712965933</v>
      </c>
    </row>
    <row r="25" spans="1:2" x14ac:dyDescent="0.25">
      <c r="A25" t="s">
        <v>28</v>
      </c>
      <c r="B25" s="9">
        <f>1-B24</f>
        <v>0.2673948287034067</v>
      </c>
    </row>
    <row r="26" spans="1:2" x14ac:dyDescent="0.25">
      <c r="A26" t="s">
        <v>29</v>
      </c>
      <c r="B26" s="11">
        <f>B24*B20+B25*B21*(1-B8)</f>
        <v>0.06338524198835702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21593000000</v>
      </c>
      <c r="C29" s="6" t="s">
        <v>32</v>
      </c>
    </row>
    <row r="30" spans="1:2" x14ac:dyDescent="0.25">
      <c r="A30" t="s">
        <v>33</v>
      </c>
      <c r="B30" s="10">
        <v>21383000000</v>
      </c>
    </row>
    <row r="31" spans="1:2" x14ac:dyDescent="0.25">
      <c r="A31" t="s">
        <v>34</v>
      </c>
      <c r="B31" s="12">
        <v>1000100000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0.28827062149770755</v>
      </c>
      <c r="C5" s="5">
        <v>-0.05921843831661944</v>
      </c>
      <c r="D5" s="5">
        <v>-0.048691133527042005</v>
      </c>
      <c r="E5" s="5">
        <v>-0.03816382873746458</v>
      </c>
      <c r="F5" s="5">
        <v>-0.027636523947887154</v>
      </c>
      <c r="G5" s="5">
        <v>-0.01710921915830972</v>
      </c>
      <c r="H5" s="5">
        <v>-0.006581914368732289</v>
      </c>
      <c r="I5" s="5">
        <v>0.00394539042084513</v>
      </c>
      <c r="J5" s="5">
        <v>0.014472695210422562</v>
      </c>
      <c r="K5" s="5">
        <v>0.024999999999999994</v>
      </c>
    </row>
    <row r="6" spans="1:11" x14ac:dyDescent="0.25">
      <c r="A6" t="s">
        <v>50</v>
      </c>
      <c r="B6" s="18">
        <f>Assumptions!B29*(1+B5)</f>
        <v>27817627530</v>
      </c>
      <c r="C6" s="18">
        <f>B6*(1+C5)</f>
        <v>26170311070</v>
      </c>
      <c r="D6" s="18">
        <f>C6*(1+D5)</f>
        <v>24896048959.246403</v>
      </c>
      <c r="E6" s="18">
        <f>D6*(1+E5)</f>
        <v>23945920410.526188</v>
      </c>
      <c r="F6" s="18">
        <f>E6*(1+F5)</f>
        <v>23284138407.64648</v>
      </c>
      <c r="G6" s="18">
        <f>F6*(1+G5)</f>
        <v>22885764980.71764</v>
      </c>
      <c r="H6" s="18">
        <f>G6*(1+H5)</f>
        <v>22735132835.351627</v>
      </c>
      <c r="I6" s="18">
        <f>H6*(1+I5)</f>
        <v>22824831810.656864</v>
      </c>
      <c r="J6" s="18">
        <f>I6*(1+J5)</f>
        <v>23155168644.68166</v>
      </c>
      <c r="K6" s="18">
        <f>J6*(1+K5)</f>
        <v>23734047860.7987</v>
      </c>
    </row>
    <row r="7" spans="1:11" x14ac:dyDescent="0.25">
      <c r="A7" t="s">
        <v>4</v>
      </c>
      <c r="B7" s="9">
        <f>Assumptions!B7</f>
        <v>0.24100149485826405</v>
      </c>
      <c r="C7" s="9">
        <f>Assumptions!B7</f>
        <v>0.24100149485826405</v>
      </c>
      <c r="D7" s="9">
        <f>Assumptions!B7</f>
        <v>0.24100149485826405</v>
      </c>
      <c r="E7" s="9">
        <f>Assumptions!B7</f>
        <v>0.24100149485826405</v>
      </c>
      <c r="F7" s="9">
        <f>Assumptions!B7</f>
        <v>0.24100149485826405</v>
      </c>
      <c r="G7" s="9">
        <f>Assumptions!B7</f>
        <v>0.24100149485826405</v>
      </c>
      <c r="H7" s="9">
        <f>Assumptions!B7</f>
        <v>0.24100149485826405</v>
      </c>
      <c r="I7" s="9">
        <f>Assumptions!B7</f>
        <v>0.24100149485826405</v>
      </c>
      <c r="J7" s="9">
        <f>Assumptions!B7</f>
        <v>0.24100149485826405</v>
      </c>
      <c r="K7" s="9">
        <f>Assumptions!B7</f>
        <v>0.24100149485826405</v>
      </c>
    </row>
    <row r="8" spans="1:11" x14ac:dyDescent="0.25">
      <c r="A8" t="s">
        <v>51</v>
      </c>
      <c r="B8" s="18">
        <f>B6*B7</f>
        <v>6704089818.1404</v>
      </c>
      <c r="C8" s="18">
        <f>C6*C7</f>
        <v>6307084088.775776</v>
      </c>
      <c r="D8" s="18">
        <f>D6*D7</f>
        <v>5999985015.242912</v>
      </c>
      <c r="E8" s="18">
        <f>E6*E7</f>
        <v>5771002614.693828</v>
      </c>
      <c r="F8" s="18">
        <f>F6*F7</f>
        <v>5611512162.729522</v>
      </c>
      <c r="G8" s="18">
        <f>G6*G7</f>
        <v>5515503571.327862</v>
      </c>
      <c r="H8" s="18">
        <f>H6*H7</f>
        <v>5479200999.120946</v>
      </c>
      <c r="I8" s="18">
        <f>I6*I7</f>
        <v>5500818586.2567625</v>
      </c>
      <c r="J8" s="18">
        <f>J6*J7</f>
        <v>5580430257.063484</v>
      </c>
      <c r="K8" s="18">
        <f>K6*K7</f>
        <v>5719941013.49007</v>
      </c>
    </row>
    <row r="9" spans="1:11" x14ac:dyDescent="0.25">
      <c r="A9" t="s">
        <v>52</v>
      </c>
      <c r="B9" s="18">
        <f>B8*(1-Assumptions!B8)</f>
        <v>5296230956.330916</v>
      </c>
      <c r="C9" s="18">
        <f>C8*(1-Assumptions!B8)</f>
        <v>4982596430.132863</v>
      </c>
      <c r="D9" s="18">
        <f>D8*(1-Assumptions!B8)</f>
        <v>4739988162.041901</v>
      </c>
      <c r="E9" s="18">
        <f>E8*(1-Assumptions!B8)</f>
        <v>4559092065.608124</v>
      </c>
      <c r="F9" s="18">
        <f>F8*(1-Assumptions!B8)</f>
        <v>4433094608.556322</v>
      </c>
      <c r="G9" s="18">
        <f>G8*(1-Assumptions!B8)</f>
        <v>4357247821.349011</v>
      </c>
      <c r="H9" s="18">
        <f>H8*(1-Assumptions!B8)</f>
        <v>4328568789.305548</v>
      </c>
      <c r="I9" s="18">
        <f>I8*(1-Assumptions!B8)</f>
        <v>4345646683.142842</v>
      </c>
      <c r="J9" s="18">
        <f>J8*(1-Assumptions!B8)</f>
        <v>4408539903.0801525</v>
      </c>
      <c r="K9" s="18">
        <f>K8*(1-Assumptions!B8)</f>
        <v>4518753400.657156</v>
      </c>
    </row>
    <row r="10" spans="1:11" x14ac:dyDescent="0.25">
      <c r="A10" t="s">
        <v>53</v>
      </c>
      <c r="B10" s="18">
        <f>B6*Assumptions!B9</f>
        <v>7873130239.101991</v>
      </c>
      <c r="C10" s="18">
        <f>C6*Assumptions!B9</f>
        <v>7406895761.679018</v>
      </c>
      <c r="D10" s="18">
        <f>D6*Assumptions!B9</f>
        <v>7046245611.126224</v>
      </c>
      <c r="E10" s="18">
        <f>E6*Assumptions!B9</f>
        <v>6777333900.38109</v>
      </c>
      <c r="F10" s="18">
        <f>F6*Assumptions!B9</f>
        <v>6590031949.74038</v>
      </c>
      <c r="G10" s="18">
        <f>G6*Assumptions!B9</f>
        <v>6477281648.852009</v>
      </c>
      <c r="H10" s="18">
        <f>H6*Assumptions!B9</f>
        <v>6434648735.697105</v>
      </c>
      <c r="I10" s="18">
        <f>I6*Assumptions!B9</f>
        <v>6460035937.180428</v>
      </c>
      <c r="J10" s="18">
        <f>J6*Assumptions!B9</f>
        <v>6553530068.347616</v>
      </c>
      <c r="K10" s="18">
        <f>K6*Assumptions!B9</f>
        <v>6717368320.056306</v>
      </c>
    </row>
    <row r="11" spans="1:11" x14ac:dyDescent="0.25">
      <c r="A11" t="s">
        <v>54</v>
      </c>
      <c r="B11" s="18">
        <f>-B6*B19</f>
        <v>-6612371791.01132</v>
      </c>
      <c r="C11" s="18">
        <f>-C6*C19</f>
        <v>-6521211858.508206</v>
      </c>
      <c r="D11" s="18">
        <f>-D6*D19</f>
        <v>-6489473542.084655</v>
      </c>
      <c r="E11" s="18">
        <f>-E6*E19</f>
        <v>-6516690544.585929</v>
      </c>
      <c r="F11" s="18">
        <f>-F6*F19</f>
        <v>-6603875297.54032</v>
      </c>
      <c r="G11" s="18">
        <f>-G6*G19</f>
        <v>-6753598564.29715</v>
      </c>
      <c r="H11" s="18">
        <f>-H6*H19</f>
        <v>-6970128235.91746</v>
      </c>
      <c r="I11" s="18">
        <f>-I6*I19</f>
        <v>-7259639065.181207</v>
      </c>
      <c r="J11" s="18">
        <f>-J6*J19</f>
        <v>-7630508565.4503355</v>
      </c>
      <c r="K11" s="18">
        <f>-K6*K19</f>
        <v>-8093719310.246203</v>
      </c>
    </row>
    <row r="12" spans="1:11" x14ac:dyDescent="0.25">
      <c r="A12" t="s">
        <v>55</v>
      </c>
      <c r="B12" s="18">
        <f>-(B6-Assumptions!B29)*Assumptions!B11</f>
        <v>-356758166.4832537</v>
      </c>
      <c r="C12" s="18">
        <f>-(C6-B6)*Assumptions!B11</f>
        <v>94414259.65728173</v>
      </c>
      <c r="D12" s="18">
        <f>-(D6-C6)*Assumptions!B11</f>
        <v>73033030.82161033</v>
      </c>
      <c r="E12" s="18">
        <f>-(E6-D6)*Assumptions!B11</f>
        <v>54455646.917208984</v>
      </c>
      <c r="F12" s="18">
        <f>-(F6-E6)*Assumptions!B11</f>
        <v>37929359.27830203</v>
      </c>
      <c r="G12" s="18">
        <f>-(G6-F6)*Assumptions!B11</f>
        <v>22832365.901704587</v>
      </c>
      <c r="H12" s="18">
        <f>-(H6-G6)*Assumptions!B11</f>
        <v>8633327.493929198</v>
      </c>
      <c r="I12" s="18">
        <f>-(I6-H6)*Assumptions!B11</f>
        <v>-5141005.114136193</v>
      </c>
      <c r="J12" s="18">
        <f>-(J6-I6)*Assumptions!B11</f>
        <v>-18932918.100011833</v>
      </c>
      <c r="K12" s="18">
        <f>-(K6-J6)*Assumptions!B11</f>
        <v>-33177870.76605657</v>
      </c>
    </row>
    <row r="13" spans="1:11" x14ac:dyDescent="0.25">
      <c r="A13" s="19" t="s">
        <v>56</v>
      </c>
      <c r="B13" s="20">
        <f>B9+B10+B11+B12</f>
        <v>6200231237.9383335</v>
      </c>
      <c r="C13" s="20">
        <f>C9+C10+C11+C12</f>
        <v>5962694592.960958</v>
      </c>
      <c r="D13" s="20">
        <f>D9+D10+D11+D12</f>
        <v>5369793261.905081</v>
      </c>
      <c r="E13" s="20">
        <f>E9+E10+E11+E12</f>
        <v>4874191068.320494</v>
      </c>
      <c r="F13" s="20">
        <f>F9+F10+F11+F12</f>
        <v>4457180620.034685</v>
      </c>
      <c r="G13" s="20">
        <f>G9+G10+G11+G12</f>
        <v>4103763271.8055744</v>
      </c>
      <c r="H13" s="20">
        <f>H9+H10+H11+H12</f>
        <v>3801722616.579122</v>
      </c>
      <c r="I13" s="20">
        <f>I9+I10+I11+I12</f>
        <v>3540902550.027926</v>
      </c>
      <c r="J13" s="20">
        <f>J9+J10+J11+J12</f>
        <v>3312628487.8774214</v>
      </c>
      <c r="K13" s="20">
        <f>K9+K10+K11+K12</f>
        <v>3109224539.701203</v>
      </c>
    </row>
    <row r="14" spans="1:11" x14ac:dyDescent="0.25">
      <c r="A14" t="s">
        <v>57</v>
      </c>
      <c r="B14" s="21">
        <f>1/(1+Assumptions!$B$26)^(1-0.5*Assumptions!$B$32)</f>
        <v>0.9697386062172173</v>
      </c>
      <c r="C14" s="21">
        <f>1/(1+Assumptions!$B$26)^(2-0.5*Assumptions!$B$32)</f>
        <v>0.9119353625822042</v>
      </c>
      <c r="D14" s="21">
        <f>1/(1+Assumptions!$B$26)^(3-0.5*Assumptions!$B$32)</f>
        <v>0.8575775989490262</v>
      </c>
      <c r="E14" s="21">
        <f>1/(1+Assumptions!$B$26)^(4-0.5*Assumptions!$B$32)</f>
        <v>0.8064599404685135</v>
      </c>
      <c r="F14" s="21">
        <f>1/(1+Assumptions!$B$26)^(5-0.5*Assumptions!$B$32)</f>
        <v>0.7583892540774452</v>
      </c>
      <c r="G14" s="21">
        <f>1/(1+Assumptions!$B$26)^(6-0.5*Assumptions!$B$32)</f>
        <v>0.7131839188019771</v>
      </c>
      <c r="H14" s="21">
        <f>1/(1+Assumptions!$B$26)^(7-0.5*Assumptions!$B$32)</f>
        <v>0.6706731395561213</v>
      </c>
      <c r="I14" s="21">
        <f>1/(1+Assumptions!$B$26)^(8-0.5*Assumptions!$B$32)</f>
        <v>0.6306963018426623</v>
      </c>
      <c r="J14" s="21">
        <f>1/(1+Assumptions!$B$26)^(9-0.5*Assumptions!$B$32)</f>
        <v>0.5931023649184402</v>
      </c>
      <c r="K14" s="21">
        <f>1/(1+Assumptions!$B$26)^(10-0.5*Assumptions!$B$32)</f>
        <v>0.5577492911312513</v>
      </c>
    </row>
    <row r="15" spans="1:11" x14ac:dyDescent="0.25">
      <c r="A15" s="19" t="s">
        <v>58</v>
      </c>
      <c r="B15" s="20">
        <f>B13*B14</f>
        <v>6012603598.902771</v>
      </c>
      <c r="C15" s="20">
        <f>C13*C14</f>
        <v>5437592055.5988</v>
      </c>
      <c r="D15" s="20">
        <f>D13*D14</f>
        <v>4605014412.397219</v>
      </c>
      <c r="E15" s="20">
        <f>E13*E14</f>
        <v>3930839838.789906</v>
      </c>
      <c r="F15" s="20">
        <f>F13*F14</f>
        <v>3380277885.7165494</v>
      </c>
      <c r="G15" s="20">
        <f>G13*G14</f>
        <v>2926737972.0219226</v>
      </c>
      <c r="H15" s="20">
        <f>H13*H14</f>
        <v>2549713242.982632</v>
      </c>
      <c r="I15" s="20">
        <f>I13*I14</f>
        <v>2233234143.4878654</v>
      </c>
      <c r="J15" s="20">
        <f>J13*J14</f>
        <v>1964727790.256295</v>
      </c>
      <c r="K15" s="20">
        <f>K13*K14</f>
        <v>1734167782.9862368</v>
      </c>
    </row>
    <row r="17" spans="1:2" x14ac:dyDescent="0.25">
      <c r="A17" s="22" t="s">
        <v>59</v>
      </c>
      <c r="B17" s="23">
        <f>SUM(B15:K15)</f>
        <v>34774908723.1402</v>
      </c>
    </row>
    <row r="19" spans="1:11" x14ac:dyDescent="0.25">
      <c r="A19" t="s">
        <v>7</v>
      </c>
      <c r="B19" s="9">
        <f>Assumptions!$B$10+($B$20-Assumptions!$B$10)*0/9</f>
        <v>0.23770437589906576</v>
      </c>
      <c r="C19" s="9">
        <f>Assumptions!$B$10+($B$20-Assumptions!$B$10)*1/9</f>
        <v>0.24918358215404302</v>
      </c>
      <c r="D19" s="9">
        <f>Assumptions!$B$10+($B$20-Assumptions!$B$10)*2/9</f>
        <v>0.2606627884090203</v>
      </c>
      <c r="E19" s="9">
        <f>Assumptions!$B$10+($B$20-Assumptions!$B$10)*3/9</f>
        <v>0.2721419946639976</v>
      </c>
      <c r="F19" s="9">
        <f>Assumptions!$B$10+($B$20-Assumptions!$B$10)*4/9</f>
        <v>0.2836212009189748</v>
      </c>
      <c r="G19" s="9">
        <f>Assumptions!$B$10+($B$20-Assumptions!$B$10)*5/9</f>
        <v>0.2951004071739521</v>
      </c>
      <c r="H19" s="9">
        <f>Assumptions!$B$10+($B$20-Assumptions!$B$10)*6/9</f>
        <v>0.30657961342892937</v>
      </c>
      <c r="I19" s="9">
        <f>Assumptions!$B$10+($B$20-Assumptions!$B$10)*7/9</f>
        <v>0.3180588196839066</v>
      </c>
      <c r="J19" s="9">
        <f>Assumptions!$B$10+($B$20-Assumptions!$B$10)*8/9</f>
        <v>0.32953802593888387</v>
      </c>
      <c r="K19" s="9">
        <f>Assumptions!$B$10+($B$20-Assumptions!$B$10)*9/9</f>
        <v>0.34101723219386115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0.34101723219386115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3109224539.701203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4518753400.657156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0.304586435274325</v>
      </c>
    </row>
    <row r="7" spans="1:2" x14ac:dyDescent="0.25">
      <c r="A7" t="s">
        <v>66</v>
      </c>
      <c r="B7" s="18">
        <f>-MAX(B5,0)*B6</f>
        <v>-1376350990.1898968</v>
      </c>
    </row>
    <row r="8" spans="1:2" x14ac:dyDescent="0.25">
      <c r="A8" t="s">
        <v>67</v>
      </c>
      <c r="B8" s="18">
        <f>IF(OR(Assumptions!$B$33=0,Assumptions!B12&lt;=0),B5,MAX(B5+B7,0))</f>
        <v>3142402410.4672594</v>
      </c>
    </row>
    <row r="9" spans="1:2" x14ac:dyDescent="0.25">
      <c r="A9" t="s">
        <v>68</v>
      </c>
      <c r="B9" s="18">
        <f>B8*(1+Assumptions!B12)/(Assumptions!B26-Assumptions!B12)</f>
        <v>83911480138.7971</v>
      </c>
    </row>
    <row r="10" spans="1:2" x14ac:dyDescent="0.25">
      <c r="A10" t="s">
        <v>69</v>
      </c>
      <c r="B10" s="18">
        <f>B9/(1+Assumptions!B26)^(10-0.5*Assumptions!B32)</f>
        <v>46801568565.188156</v>
      </c>
    </row>
    <row r="11" spans="1:2" x14ac:dyDescent="0.25">
      <c r="A11" t="s">
        <v>70</v>
      </c>
      <c r="B11" s="18">
        <f>Forecast!B17+B10</f>
        <v>81576477288.32835</v>
      </c>
    </row>
    <row r="12" spans="1:2" x14ac:dyDescent="0.25">
      <c r="A12" t="s">
        <v>71</v>
      </c>
      <c r="B12" s="18">
        <f>-Assumptions!B30</f>
        <v>-21383000000</v>
      </c>
    </row>
    <row r="13" spans="1:2" x14ac:dyDescent="0.25">
      <c r="A13" t="s">
        <v>72</v>
      </c>
      <c r="B13" s="18">
        <f>B11+B12</f>
        <v>60193477288.328354</v>
      </c>
    </row>
    <row r="14" spans="1:2" x14ac:dyDescent="0.25">
      <c r="A14" s="19" t="s">
        <v>73</v>
      </c>
      <c r="B14" s="24">
        <f>B13/Assumptions!B31</f>
        <v>60.187458542474104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12437309333.546375</v>
      </c>
    </row>
    <row r="18" spans="1:2" x14ac:dyDescent="0.25">
      <c r="A18" t="s">
        <v>68</v>
      </c>
      <c r="B18" s="18">
        <f>B17*Assumptions!B13</f>
        <v>94326622705.21236</v>
      </c>
    </row>
    <row r="19" spans="1:2" x14ac:dyDescent="0.25">
      <c r="A19" t="s">
        <v>69</v>
      </c>
      <c r="B19" s="18">
        <f>B18/(1+Assumptions!B26)^(10-0.5*Assumptions!B32)</f>
        <v>52610606948.637184</v>
      </c>
    </row>
    <row r="20" spans="1:2" x14ac:dyDescent="0.25">
      <c r="A20" t="s">
        <v>70</v>
      </c>
      <c r="B20" s="18">
        <f>Forecast!B17+B19</f>
        <v>87385515671.77737</v>
      </c>
    </row>
    <row r="21" spans="1:2" x14ac:dyDescent="0.25">
      <c r="A21" t="s">
        <v>71</v>
      </c>
      <c r="B21" s="18">
        <f>-Assumptions!B30</f>
        <v>-21383000000</v>
      </c>
    </row>
    <row r="22" spans="1:2" x14ac:dyDescent="0.25">
      <c r="A22" t="s">
        <v>72</v>
      </c>
      <c r="B22" s="18">
        <f>B20+B21</f>
        <v>66002515671.777374</v>
      </c>
    </row>
    <row r="23" spans="1:2" x14ac:dyDescent="0.25">
      <c r="A23" s="19" t="s">
        <v>73</v>
      </c>
      <c r="B23" s="25">
        <f>B22/Assumptions!B31</f>
        <v>65.99591608016935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60.187458542474104</v>
      </c>
    </row>
    <row r="29" spans="1:2" x14ac:dyDescent="0.25">
      <c r="A29" s="19" t="s">
        <v>81</v>
      </c>
      <c r="B29" s="11">
        <f>B28/B26-1</f>
        <v>-0.05957096027384212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0.043385</v>
      </c>
      <c r="B5" s="31">
        <v>106.32546315237376</v>
      </c>
      <c r="C5" s="31">
        <v>116.67377587907725</v>
      </c>
      <c r="D5" s="31">
        <v>133.10462833891208</v>
      </c>
      <c r="E5" s="31">
        <v>162.43446401316106</v>
      </c>
      <c r="F5" s="31">
        <v>227.73838704209993</v>
      </c>
    </row>
    <row r="6" spans="1:6" x14ac:dyDescent="0.25">
      <c r="A6" s="30">
        <v>0.053385</v>
      </c>
      <c r="B6" s="31">
        <v>76.18126390255618</v>
      </c>
      <c r="C6" s="31">
        <v>79.35361600911061</v>
      </c>
      <c r="D6" s="31">
        <v>83.92139465933622</v>
      </c>
      <c r="E6" s="31">
        <v>90.77967781581886</v>
      </c>
      <c r="F6" s="31">
        <v>101.79724805097369</v>
      </c>
    </row>
    <row r="7" spans="1:6" x14ac:dyDescent="0.25">
      <c r="A7" s="30">
        <v>0.063385</v>
      </c>
      <c r="B7" s="31">
        <v>58.39347744828569</v>
      </c>
      <c r="C7" s="31">
        <v>59.10131834160532</v>
      </c>
      <c r="D7" s="32">
        <v>60.18788527534609</v>
      </c>
      <c r="E7" s="31">
        <v>61.8233412151009</v>
      </c>
      <c r="F7" s="31">
        <v>64.29774552638703</v>
      </c>
    </row>
    <row r="8" spans="1:6" x14ac:dyDescent="0.25">
      <c r="A8" s="30">
        <v>0.073385</v>
      </c>
      <c r="B8" s="31">
        <v>46.618856711908016</v>
      </c>
      <c r="C8" s="31">
        <v>46.33318545485822</v>
      </c>
      <c r="D8" s="31">
        <v>46.13442176354537</v>
      </c>
      <c r="E8" s="31">
        <v>46.05261320016967</v>
      </c>
      <c r="F8" s="31">
        <v>46.13346321449159</v>
      </c>
    </row>
    <row r="9" spans="1:6" x14ac:dyDescent="0.25">
      <c r="A9" s="30">
        <v>0.083385</v>
      </c>
      <c r="B9" s="31">
        <v>38.351285444310605</v>
      </c>
      <c r="C9" s="31">
        <v>37.692617791167926</v>
      </c>
      <c r="D9" s="31">
        <v>37.03395013802523</v>
      </c>
      <c r="E9" s="31">
        <v>36.375282484882554</v>
      </c>
      <c r="F9" s="31">
        <v>35.71661483173986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21593000000</v>
      </c>
      <c r="C5" s="18">
        <v>22019000000</v>
      </c>
      <c r="D5" s="18">
        <v>23156000000</v>
      </c>
      <c r="E5" s="18">
        <v>36634000000</v>
      </c>
      <c r="F5" s="6" t="s">
        <v>91</v>
      </c>
    </row>
    <row r="6" spans="1:6" x14ac:dyDescent="0.25">
      <c r="A6" t="s">
        <v>51</v>
      </c>
      <c r="B6" s="18">
        <v>3722000000</v>
      </c>
      <c r="C6" s="18">
        <v>4698000000</v>
      </c>
      <c r="D6" s="18">
        <v>4753000000</v>
      </c>
      <c r="E6" s="18">
        <v>13665000000</v>
      </c>
      <c r="F6" s="6" t="s">
        <v>92</v>
      </c>
    </row>
    <row r="7" spans="1:6" x14ac:dyDescent="0.25">
      <c r="A7" t="s">
        <v>93</v>
      </c>
      <c r="B7" s="18">
        <v>7533000000</v>
      </c>
      <c r="C7" s="18">
        <v>6951000000</v>
      </c>
      <c r="D7" s="18">
        <v>6449000000</v>
      </c>
      <c r="E7" s="18">
        <v>6926000000</v>
      </c>
      <c r="F7" s="6" t="s">
        <v>94</v>
      </c>
    </row>
    <row r="8" spans="1:6" x14ac:dyDescent="0.25">
      <c r="A8" t="s">
        <v>95</v>
      </c>
      <c r="B8" s="18">
        <v>6427000000</v>
      </c>
      <c r="C8" s="18">
        <v>6263000000</v>
      </c>
      <c r="D8" s="18">
        <v>5696000000</v>
      </c>
      <c r="E8" s="18">
        <v>4497000000</v>
      </c>
      <c r="F8" s="6" t="s">
        <v>96</v>
      </c>
    </row>
    <row r="9" spans="1:6" x14ac:dyDescent="0.25">
      <c r="A9" t="s">
        <v>97</v>
      </c>
      <c r="B9" s="18">
        <v>1067000000</v>
      </c>
      <c r="C9" s="18">
        <v>-75000000</v>
      </c>
      <c r="D9" s="18">
        <v>-140000000</v>
      </c>
      <c r="E9" s="18">
        <v>1325000000</v>
      </c>
      <c r="F9" s="6" t="s">
        <v>98</v>
      </c>
    </row>
    <row r="10" spans="1:6" x14ac:dyDescent="0.25">
      <c r="A10" t="s">
        <v>99</v>
      </c>
      <c r="B10" s="18">
        <v>23351000000</v>
      </c>
      <c r="C10" s="18">
        <v>26920000000</v>
      </c>
      <c r="D10" s="18">
        <v>20911000000</v>
      </c>
      <c r="E10" s="18">
        <v>20765000000</v>
      </c>
      <c r="F10" s="6" t="s">
        <v>100</v>
      </c>
    </row>
    <row r="11" spans="1:6" x14ac:dyDescent="0.25">
      <c r="A11" t="s">
        <v>101</v>
      </c>
      <c r="B11" s="18">
        <v>1968000000</v>
      </c>
      <c r="C11" s="18">
        <v>2125000000</v>
      </c>
      <c r="D11" s="18">
        <v>1426000000</v>
      </c>
      <c r="E11" s="18">
        <v>984000000</v>
      </c>
      <c r="F11" s="6" t="s">
        <v>102</v>
      </c>
    </row>
    <row r="12" spans="1:6" x14ac:dyDescent="0.25">
      <c r="A12" t="s">
        <v>34</v>
      </c>
      <c r="B12" s="34">
        <v>1000100000</v>
      </c>
      <c r="C12" s="34">
        <v>967100000</v>
      </c>
      <c r="D12" s="34">
        <v>960900000</v>
      </c>
      <c r="E12" s="34">
        <v>1002000000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