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<sst xmlns="http://schemas.openxmlformats.org/spreadsheetml/2006/main" count="114" uniqueCount="102">
  <si>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Porsche Automobil Holding SE (PAH3.DE)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</si>
  <si>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</si>
  <si>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</si>
  <si>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</si>
  <si>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</si>
  <si>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</si>
  <si>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</si>
  <si>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</si>
  <si>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</si>
  <si>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</si>
  <si>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</si>
  <si>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</si>
  <si>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</si>
  <si>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</si>
  <si>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</si>
  <si>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</si>
  <si>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</si>
  <si>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</si>
  <si>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</si>
  <si>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</si>
  <si>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</si>
  <si>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</si>
  <si>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</si>
  <si>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</si>
  <si>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</si>
  <si>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</si>
  <si>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</si>
  <si>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</si>
  <si>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</si>
  <si>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</si>
  <si>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</si>
  <si>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</si>
  <si>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</si>
  <si>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</si>
  <si>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</si>
  <si>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</si>
  <si>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</si>
  <si>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</si>
  <si>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</si>
  <si>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</si>
  <si>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</si>
  <si>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</si>
  <si>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</si>
  <si>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</si>
  <si>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</si>
  <si>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</si>
  <si>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</si>
  <si>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</si>
  <si>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</si>
  <si>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</si>
  <si>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</si>
  <si>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</si>
  <si>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</si>
  <si>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</si>
  <si>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</si>
  <si>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</si>
  <si>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</si>
  <si>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</si>
  <si>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</si>
  <si>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</si>
  <si>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</si>
  <si>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</si>
  <si>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</si>
  <si>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</si>
  <si>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</si>
  <si>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</si>
  <si>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</si>
  <si>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</si>
  <si>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</si>
  <si>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</si>
  <si>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</si>
  <si>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</si>
  <si>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</si>
  <si>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</si>
  <si>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</si>
  <si>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</si>
  <si>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</si>
  <si>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</si>
  <si>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</si>
  <si>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</si>
  <si>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</si>
  <si>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</si>
  <si>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</si>
  <si>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</si>
  <si>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</si>
  <si>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</si>
  <si>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</si>
  <si>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</si>
  <si>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</si>
  <si>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</si>
  <si>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</si>
  <si>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</si>
  <si>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</si>
  <si>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</si>
  <si>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</si>
  <si>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</si>
  <si>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</si>
  <si>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Only 3 year(s) of history available to anchor assumptions on.</t>
  </si>
  <si>
    <t>Adjusted: Capital expenditure runs at 1.3% of revenue against depreciation of 0.0%. A perpetuity has to be a steady state, so the terminal year uses maintenance capex at depreciation and then charges the reinvestment terminal growth requires (g/ROIC of NOPAT). The bridge is shown under Terminal Value.</t>
  </si>
  <si>
    <t>Note: No analyst revenue estimates available, so the consensus scenario is unavailable.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</si>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</sst>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-0.2899099062960597</v>
      </c>
    </row>
    <row r="7" spans="1:2" x14ac:dyDescent="0.25">
      <c r="A7" t="s">
        <v>5</v>
      </c>
      <c r="B7" s="6">
        <v>0.9888352961814363</v>
      </c>
    </row>
    <row r="8" spans="1:2" x14ac:dyDescent="0.25">
      <c r="A8" t="s">
        <v>6</v>
      </c>
      <c r="B8" s="6">
        <v>0.009176103084732526</v>
      </c>
    </row>
    <row r="9" spans="1:2" x14ac:dyDescent="0.25">
      <c r="A9" t="s">
        <v>7</v>
      </c>
      <c r="B9" s="6">
        <v>0.00024423989075126245</v>
      </c>
    </row>
    <row r="10" spans="1:2" x14ac:dyDescent="0.25">
      <c r="A10" t="s">
        <v>8</v>
      </c>
      <c r="B10" s="6">
        <v>0.01314900153609831</v>
      </c>
    </row>
    <row r="11" spans="1:2" x14ac:dyDescent="0.25">
      <c r="A11" t="s">
        <v>9</v>
      </c>
      <c r="B11" s="6">
        <v>-0.5646159582401193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5.126950647342995</v>
      </c>
    </row>
    <row r="14" spans="1:3" x14ac:dyDescent="0.25">
      <c r="A14" t="s">
        <v>12</v>
      </c>
      <c r="B14" s="6">
        <v>0.08638995785071406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0.97253</v>
      </c>
      <c r="C19" s="8" t="s">
        <v>19</v>
      </c>
    </row>
    <row r="20" spans="1:2" x14ac:dyDescent="0.25">
      <c r="A20" t="s">
        <v>20</v>
      </c>
      <c r="B20" s="10">
        <f>B17+B19*B18</f>
        <v>0.08435179999999999</v>
      </c>
    </row>
    <row r="21" spans="1:3" x14ac:dyDescent="0.25">
      <c r="A21" t="s">
        <v>21</v>
      </c>
      <c r="B21" s="6">
        <v>0.04522320779409626</v>
      </c>
      <c r="C21" s="8" t="s">
        <v>22</v>
      </c>
    </row>
    <row r="22" spans="1:2" x14ac:dyDescent="0.25">
      <c r="A22" t="s">
        <v>23</v>
      </c>
      <c r="B22" s="11">
        <v>8703624192</v>
      </c>
    </row>
    <row r="23" spans="1:2" x14ac:dyDescent="0.25">
      <c r="A23" t="s">
        <v>24</v>
      </c>
      <c r="B23" s="11">
        <v>7030000000</v>
      </c>
    </row>
    <row r="24" spans="1:2" x14ac:dyDescent="0.25">
      <c r="A24" t="s">
        <v>25</v>
      </c>
      <c r="B24" s="10">
        <f>B22/(B22+B23)</f>
        <v>0.5531862262494798</v>
      </c>
    </row>
    <row r="25" spans="1:2" x14ac:dyDescent="0.25">
      <c r="A25" t="s">
        <v>26</v>
      </c>
      <c r="B25" s="10">
        <f>1-B24</f>
        <v>0.4468137737505202</v>
      </c>
    </row>
    <row r="26" spans="1:2" x14ac:dyDescent="0.25">
      <c r="A26" t="s">
        <v>27</v>
      </c>
      <c r="B26" s="12">
        <f>B24*B20+B25*B21*(1-B8)</f>
        <v>0.06668319048477242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2743000000</v>
      </c>
      <c r="C29" s="8" t="s">
        <v>30</v>
      </c>
    </row>
    <row r="30" spans="1:2" x14ac:dyDescent="0.25">
      <c r="A30" t="s">
        <v>31</v>
      </c>
      <c r="B30" s="11">
        <v>5093000000</v>
      </c>
    </row>
    <row r="31" spans="1:2" x14ac:dyDescent="0.25">
      <c r="A31" t="s">
        <v>32</v>
      </c>
      <c r="B31" s="13">
        <v>153125000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-0.2899099062960597</v>
      </c>
      <c r="C5" s="10">
        <f>Assumptions!B6</f>
        <v>-0.2899099062960597</v>
      </c>
      <c r="D5" s="10">
        <f>Assumptions!B6</f>
        <v>-0.2899099062960597</v>
      </c>
      <c r="E5" s="10">
        <f>Assumptions!B6</f>
        <v>-0.2899099062960597</v>
      </c>
      <c r="F5" s="10">
        <f>Assumptions!B6</f>
        <v>-0.2899099062960597</v>
      </c>
    </row>
    <row r="6" spans="1:6" x14ac:dyDescent="0.25">
      <c r="A6" t="s">
        <v>43</v>
      </c>
      <c r="B6" s="18">
        <f>Assumptions!B29*(1+B5)</f>
        <v>1947777127.0299082</v>
      </c>
      <c r="C6" s="18">
        <f>B6*(1+C5)</f>
        <v>1383097242.647059</v>
      </c>
      <c r="D6" s="18">
        <f>C6*(1+D5)</f>
        <v>982123650.6329116</v>
      </c>
      <c r="E6" s="18">
        <f>D6*(1+E5)</f>
        <v>697396275.10678</v>
      </c>
      <c r="F6" s="18">
        <f>E6*(1+F5)</f>
        <v>495214186.33935237</v>
      </c>
    </row>
    <row r="7" spans="1:6" x14ac:dyDescent="0.25">
      <c r="A7" t="s">
        <v>5</v>
      </c>
      <c r="B7" s="10">
        <f>Assumptions!B7</f>
        <v>0.9888352961814363</v>
      </c>
      <c r="C7" s="10">
        <f>Assumptions!B7</f>
        <v>0.9888352961814363</v>
      </c>
      <c r="D7" s="10">
        <f>Assumptions!B7</f>
        <v>0.9888352961814363</v>
      </c>
      <c r="E7" s="10">
        <f>Assumptions!B7</f>
        <v>0.9888352961814363</v>
      </c>
      <c r="F7" s="10">
        <f>Assumptions!B7</f>
        <v>0.9888352961814363</v>
      </c>
    </row>
    <row r="8" spans="1:6" x14ac:dyDescent="0.25">
      <c r="A8" t="s">
        <v>44</v>
      </c>
      <c r="B8" s="18">
        <f>B6*B7</f>
        <v>1926030772.3020463</v>
      </c>
      <c r="C8" s="18">
        <f>C6*C7</f>
        <v>1367655371.5806324</v>
      </c>
      <c r="D8" s="18">
        <f>D6*D7</f>
        <v>971158530.9603885</v>
      </c>
      <c r="E8" s="18">
        <f>E6*E7</f>
        <v>689610052.2510433</v>
      </c>
      <c r="F8" s="18">
        <f>F6*F7</f>
        <v>489685266.62212247</v>
      </c>
    </row>
    <row r="9" spans="1:6" x14ac:dyDescent="0.25">
      <c r="A9" t="s">
        <v>45</v>
      </c>
      <c r="B9" s="18">
        <f>B8*(1-Assumptions!B8)</f>
        <v>1908357315.3910358</v>
      </c>
      <c r="C9" s="18">
        <f>C8*(1-Assumptions!B8)</f>
        <v>1355105624.9066205</v>
      </c>
      <c r="D9" s="18">
        <f>D8*(1-Assumptions!B8)</f>
        <v>962247080.1686786</v>
      </c>
      <c r="E9" s="18">
        <f>E8*(1-Assumptions!B8)</f>
        <v>683282119.32332</v>
      </c>
      <c r="F9" s="18">
        <f>F8*(1-Assumptions!B8)</f>
        <v>485191864.1365231</v>
      </c>
    </row>
    <row r="10" spans="1:6" x14ac:dyDescent="0.25">
      <c r="A10" t="s">
        <v>46</v>
      </c>
      <c r="B10" s="18">
        <f>B6*Assumptions!B9</f>
        <v>475724.8727135926</v>
      </c>
      <c r="C10" s="18">
        <f>C6*Assumptions!B9</f>
        <v>337807.51944249</v>
      </c>
      <c r="D10" s="18">
        <f>D6*Assumptions!B9</f>
        <v>239873.77313481338</v>
      </c>
      <c r="E10" s="18">
        <f>E6*Assumptions!B9</f>
        <v>170331.99004241734</v>
      </c>
      <c r="F10" s="18">
        <f>F6*Assumptions!B9</f>
        <v>120951.05876999875</v>
      </c>
    </row>
    <row r="11" spans="1:6" x14ac:dyDescent="0.25">
      <c r="A11" t="s">
        <v>47</v>
      </c>
      <c r="B11" s="18">
        <f>-B6*Assumptions!B10</f>
        <v>-25611324.435293417</v>
      </c>
      <c r="C11" s="18">
        <f>-C6*Assumptions!B10</f>
        <v>-18186347.768139515</v>
      </c>
      <c r="D11" s="18">
        <f>-D6*Assumptions!B10</f>
        <v>-12913945.390810635</v>
      </c>
      <c r="E11" s="18">
        <f>-E6*Assumptions!B10</f>
        <v>-9170064.692648292</v>
      </c>
      <c r="F11" s="18">
        <f>-F6*Assumptions!B10</f>
        <v>-6511572.096873819</v>
      </c>
    </row>
    <row r="12" spans="1:6" x14ac:dyDescent="0.25">
      <c r="A12" t="s">
        <v>48</v>
      </c>
      <c r="B12" s="18">
        <f>-(B6-Assumptions!B29)*Assumptions!B11</f>
        <v>-448995524.4364691</v>
      </c>
      <c r="C12" s="18">
        <f>-(C6-B6)*Assumptions!B11</f>
        <v>-318827274.0197422</v>
      </c>
      <c r="D12" s="18">
        <f>-(D6-C6)*Assumptions!B11</f>
        <v>-226396088.8840505</v>
      </c>
      <c r="E12" s="18">
        <f>-(E6-D6)*Assumptions!B11</f>
        <v>-160761619.96988106</v>
      </c>
      <c r="F12" s="18">
        <f>-(F6-E6)*Assumptions!B11</f>
        <v>-114155233.78841005</v>
      </c>
    </row>
    <row r="13" spans="1:6" x14ac:dyDescent="0.25">
      <c r="A13" s="19" t="s">
        <v>49</v>
      </c>
      <c r="B13" s="20">
        <f>B9+B10+B11+B12</f>
        <v>1434226191.3919868</v>
      </c>
      <c r="C13" s="20">
        <f>C9+C10+C11+C12</f>
        <v>1018429810.6381812</v>
      </c>
      <c r="D13" s="20">
        <f>D9+D10+D11+D12</f>
        <v>723176919.6669524</v>
      </c>
      <c r="E13" s="20">
        <f>E9+E10+E11+E12</f>
        <v>513520766.65083313</v>
      </c>
      <c r="F13" s="20">
        <f>F9+F10+F11+F12</f>
        <v>364646009.31000924</v>
      </c>
    </row>
    <row r="14" spans="1:6" x14ac:dyDescent="0.25">
      <c r="A14" t="s">
        <v>50</v>
      </c>
      <c r="B14" s="21">
        <f>1/(1+Assumptions!$B$26)^(1-0.5*Assumptions!$B$32)</f>
        <v>0.9682383370523833</v>
      </c>
      <c r="C14" s="21">
        <f>1/(1+Assumptions!$B$26)^(2-0.5*Assumptions!$B$32)</f>
        <v>0.9077093795884706</v>
      </c>
      <c r="D14" s="21">
        <f>1/(1+Assumptions!$B$26)^(3-0.5*Assumptions!$B$32)</f>
        <v>0.8509643610076453</v>
      </c>
      <c r="E14" s="21">
        <f>1/(1+Assumptions!$B$26)^(4-0.5*Assumptions!$B$32)</f>
        <v>0.7977667301768483</v>
      </c>
      <c r="F14" s="21">
        <f>1/(1+Assumptions!$B$26)^(5-0.5*Assumptions!$B$32)</f>
        <v>0.7478947238441901</v>
      </c>
    </row>
    <row r="15" spans="1:6" x14ac:dyDescent="0.25">
      <c r="A15" s="19" t="s">
        <v>51</v>
      </c>
      <c r="B15" s="20">
        <f>B13*B14</f>
        <v>1388672782.5103505</v>
      </c>
      <c r="C15" s="20">
        <f>C13*C14</f>
        <v>924438291.5687871</v>
      </c>
      <c r="D15" s="20">
        <f>D13*D14</f>
        <v>615397785.3398653</v>
      </c>
      <c r="E15" s="20">
        <f>E13*E14</f>
        <v>409669782.8889435</v>
      </c>
      <c r="F15" s="20">
        <f>F13*F14</f>
        <v>272716826.43379533</v>
      </c>
    </row>
    <row r="17" spans="1:2" x14ac:dyDescent="0.25">
      <c r="A17" s="22" t="s">
        <v>52</v>
      </c>
      <c r="B17" s="23">
        <f>SUM(B15:F15)</f>
        <v>3610895468.741742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364646009.31000924</v>
      </c>
    </row>
    <row r="5" spans="1:2" x14ac:dyDescent="0.25">
      <c r="A5" t="s">
        <v>56</v>
      </c>
      <c r="B5" s="18">
        <f>IF(Assumptions!$B$33=0,B4,B4-Forecast!F11-Forecast!F10-Forecast!F12)</f>
        <v>485191864.1365231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0.2893854867159582</v>
      </c>
    </row>
    <row r="7" spans="1:2" x14ac:dyDescent="0.25">
      <c r="A7" t="s">
        <v>58</v>
      </c>
      <c r="B7" s="18">
        <f>-MAX(Forecast!F9,0)*B6</f>
        <v>-140407483.7537708</v>
      </c>
    </row>
    <row r="8" spans="1:2" x14ac:dyDescent="0.25">
      <c r="A8" t="s">
        <v>59</v>
      </c>
      <c r="B8" s="18">
        <f>IF(OR(Assumptions!$B$33=0,Assumptions!B12&lt;=0),B5,MAX(B5+B7,0))</f>
        <v>344784380.3827523</v>
      </c>
    </row>
    <row r="9" spans="1:2" x14ac:dyDescent="0.25">
      <c r="A9" t="s">
        <v>60</v>
      </c>
      <c r="B9" s="18">
        <f>B8*(1+Assumptions!B12)/(Assumptions!B26-Assumptions!B12)</f>
        <v>8478333490.845082</v>
      </c>
    </row>
    <row r="10" spans="1:2" x14ac:dyDescent="0.25">
      <c r="A10" t="s">
        <v>61</v>
      </c>
      <c r="B10" s="18">
        <f>B9/(1+Assumptions!B26)^(5-0.5*Assumptions!B32)</f>
        <v>6340900884.794531</v>
      </c>
    </row>
    <row r="11" spans="1:2" x14ac:dyDescent="0.25">
      <c r="A11" t="s">
        <v>62</v>
      </c>
      <c r="B11" s="18">
        <f>Forecast!B17+B10</f>
        <v>9951796353.536274</v>
      </c>
    </row>
    <row r="12" spans="1:2" x14ac:dyDescent="0.25">
      <c r="A12" t="s">
        <v>63</v>
      </c>
      <c r="B12" s="18">
        <f>-Assumptions!B30</f>
        <v>-5093000000</v>
      </c>
    </row>
    <row r="13" spans="1:2" x14ac:dyDescent="0.25">
      <c r="A13" t="s">
        <v>64</v>
      </c>
      <c r="B13" s="18">
        <f>B11+B12</f>
        <v>4858796353.536274</v>
      </c>
    </row>
    <row r="14" spans="1:2" x14ac:dyDescent="0.25">
      <c r="A14" s="19" t="s">
        <v>65</v>
      </c>
      <c r="B14" s="24">
        <f>B13/Assumptions!B31</f>
        <v>31.730914961869544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489806217.68089247</v>
      </c>
    </row>
    <row r="18" spans="1:2" x14ac:dyDescent="0.25">
      <c r="A18" t="s">
        <v>60</v>
      </c>
      <c r="B18" s="18">
        <f>B17*Assumptions!B13</f>
        <v>2511212304.8116755</v>
      </c>
    </row>
    <row r="19" spans="1:2" x14ac:dyDescent="0.25">
      <c r="A19" t="s">
        <v>61</v>
      </c>
      <c r="B19" s="18">
        <f>B18/(1+Assumptions!B26)^(5-0.5*Assumptions!B32)</f>
        <v>1878122433.2212603</v>
      </c>
    </row>
    <row r="20" spans="1:2" x14ac:dyDescent="0.25">
      <c r="A20" t="s">
        <v>62</v>
      </c>
      <c r="B20" s="18">
        <f>Forecast!B17+B19</f>
        <v>5489017901.963002</v>
      </c>
    </row>
    <row r="21" spans="1:2" x14ac:dyDescent="0.25">
      <c r="A21" t="s">
        <v>63</v>
      </c>
      <c r="B21" s="18">
        <f>-Assumptions!B30</f>
        <v>-5093000000</v>
      </c>
    </row>
    <row r="22" spans="1:2" x14ac:dyDescent="0.25">
      <c r="A22" t="s">
        <v>64</v>
      </c>
      <c r="B22" s="18">
        <f>B20+B21</f>
        <v>396017901.9630022</v>
      </c>
    </row>
    <row r="23" spans="1:2" x14ac:dyDescent="0.25">
      <c r="A23" s="19" t="s">
        <v>65</v>
      </c>
      <c r="B23" s="25">
        <f>B22/Assumptions!B31</f>
        <v>2.5862393597583817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28.42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31.730914961869544</v>
      </c>
    </row>
    <row r="29" spans="1:2" x14ac:dyDescent="0.25">
      <c r="A29" s="19" t="s">
        <v>73</v>
      </c>
      <c r="B29" s="12">
        <f>B28/B26-1</f>
        <v>0.11649947086099721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0.046683</v>
      </c>
      <c r="B5" s="31">
        <v>59.43185744488117</v>
      </c>
      <c r="C5" s="31">
        <v>66.92341619926644</v>
      </c>
      <c r="D5" s="31">
        <v>77.80113393937432</v>
      </c>
      <c r="E5" s="31">
        <v>95.10957008412475</v>
      </c>
      <c r="F5" s="31">
        <v>127.10523204339849</v>
      </c>
    </row>
    <row r="6" spans="1:6" x14ac:dyDescent="0.25">
      <c r="A6" s="30">
        <v>0.056683</v>
      </c>
      <c r="B6" s="31">
        <v>40.462671418852125</v>
      </c>
      <c r="C6" s="31">
        <v>43.54342905045552</v>
      </c>
      <c r="D6" s="31">
        <v>47.551391537223274</v>
      </c>
      <c r="E6" s="31">
        <v>53.007792354681655</v>
      </c>
      <c r="F6" s="31">
        <v>60.91464113989004</v>
      </c>
    </row>
    <row r="7" spans="1:6" x14ac:dyDescent="0.25">
      <c r="A7" s="30">
        <v>0.066683</v>
      </c>
      <c r="B7" s="31">
        <v>28.780172492582658</v>
      </c>
      <c r="C7" s="31">
        <v>30.11231630517005</v>
      </c>
      <c r="D7" s="32">
        <v>31.731144800416633</v>
      </c>
      <c r="E7" s="31">
        <v>33.75388585608294</v>
      </c>
      <c r="F7" s="31">
        <v>36.37176784089338</v>
      </c>
    </row>
    <row r="8" spans="1:6" x14ac:dyDescent="0.25">
      <c r="A8" s="30">
        <v>0.076683</v>
      </c>
      <c r="B8" s="31">
        <v>20.84210816289052</v>
      </c>
      <c r="C8" s="31">
        <v>21.366749968120153</v>
      </c>
      <c r="D8" s="31">
        <v>21.96745658044223</v>
      </c>
      <c r="E8" s="31">
        <v>22.66866884783969</v>
      </c>
      <c r="F8" s="31">
        <v>23.506554628339295</v>
      </c>
    </row>
    <row r="9" spans="1:6" x14ac:dyDescent="0.25">
      <c r="A9" s="30">
        <v>0.086683</v>
      </c>
      <c r="B9" s="31">
        <v>15.10089389385888</v>
      </c>
      <c r="C9" s="31">
        <v>15.226624367173487</v>
      </c>
      <c r="D9" s="31">
        <v>15.352354840488083</v>
      </c>
      <c r="E9" s="31">
        <v>15.478085313802689</v>
      </c>
      <c r="F9" s="31">
        <v>15.603815787117297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2743000000</v>
      </c>
      <c r="C5" s="18">
        <v>5425000000</v>
      </c>
      <c r="D5" s="18">
        <v>5440000000</v>
      </c>
      <c r="E5" s="8" t="s">
        <v>83</v>
      </c>
    </row>
    <row r="6" spans="1:5" x14ac:dyDescent="0.25">
      <c r="A6" t="s">
        <v>44</v>
      </c>
      <c r="B6" s="18">
        <v>2690000000</v>
      </c>
      <c r="C6" s="18">
        <v>5390000000</v>
      </c>
      <c r="D6" s="18">
        <v>5398000000</v>
      </c>
      <c r="E6" s="8" t="s">
        <v>84</v>
      </c>
    </row>
    <row r="7" spans="1:5" x14ac:dyDescent="0.25">
      <c r="A7" t="s">
        <v>85</v>
      </c>
      <c r="B7" s="18">
        <v>1000000</v>
      </c>
      <c r="C7" s="18">
        <v>1000000</v>
      </c>
      <c r="D7" s="18">
        <v>1000000</v>
      </c>
      <c r="E7" s="8" t="s">
        <v>86</v>
      </c>
    </row>
    <row r="8" spans="1:5" x14ac:dyDescent="0.25">
      <c r="A8" t="s">
        <v>87</v>
      </c>
      <c r="B8" s="18">
        <v>0</v>
      </c>
      <c r="C8" s="18">
        <v>214000000</v>
      </c>
      <c r="D8" s="18">
        <v>0</v>
      </c>
      <c r="E8" s="8" t="s">
        <v>88</v>
      </c>
    </row>
    <row r="9" spans="1:5" x14ac:dyDescent="0.25">
      <c r="A9" t="s">
        <v>89</v>
      </c>
      <c r="B9" s="18">
        <v>-11000000</v>
      </c>
      <c r="C9" s="18">
        <v>17000000</v>
      </c>
      <c r="D9" s="18">
        <v>1000000</v>
      </c>
      <c r="E9" s="8" t="s">
        <v>90</v>
      </c>
    </row>
    <row r="10" spans="1:5" x14ac:dyDescent="0.25">
      <c r="A10" t="s">
        <v>91</v>
      </c>
      <c r="B10" s="18">
        <v>7030000000</v>
      </c>
      <c r="C10" s="18">
        <v>6724000000</v>
      </c>
      <c r="D10" s="18">
        <v>3152000000</v>
      </c>
      <c r="E10" s="8" t="s">
        <v>92</v>
      </c>
    </row>
    <row r="11" spans="1:5" x14ac:dyDescent="0.25">
      <c r="A11" t="s">
        <v>93</v>
      </c>
      <c r="B11" s="18">
        <v>1937000000</v>
      </c>
      <c r="C11" s="18">
        <v>1015000000</v>
      </c>
      <c r="D11" s="18">
        <v>446000000</v>
      </c>
      <c r="E11" s="8" t="s">
        <v>94</v>
      </c>
    </row>
    <row r="12" spans="1:5" x14ac:dyDescent="0.25">
      <c r="A12" t="s">
        <v>32</v>
      </c>
      <c r="B12" s="34">
        <v>153125000</v>
      </c>
      <c r="C12" s="34">
        <v>153125000</v>
      </c>
      <c r="D12" s="34">
        <v>153125000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54" customHeight="1" spans="1:5" x14ac:dyDescent="0.25">
      <c r="A17" s="35" t="s">
        <v>98</v>
      </c>
      <c r="B17" s="35"/>
      <c r="C17" s="35"/>
      <c r="D17" s="35"/>
      <c r="E17" s="35"/>
    </row>
    <row r="18" ht="22" customHeight="1" spans="1:5" x14ac:dyDescent="0.25">
      <c r="A18" s="35" t="s">
        <v>99</v>
      </c>
      <c r="B18" s="35"/>
      <c r="C18" s="35"/>
      <c r="D18" s="35"/>
      <c r="E18" s="35"/>
    </row>
    <row r="19" ht="22" customHeight="1" spans="1:5" x14ac:dyDescent="0.25">
      <c r="A19" s="35" t="s">
        <v>100</v>
      </c>
      <c r="B19" s="35"/>
      <c r="C19" s="35"/>
      <c r="D19" s="35"/>
      <c r="E19" s="35"/>
    </row>
    <row r="21" spans="1:1" x14ac:dyDescent="0.25">
      <c r="A21" s="36" t="s">
        <v>101</v>
      </c>
    </row>
  </sheetData>
  <mergeCells count="4">
    <mergeCell ref="A16:E16"/>
    <mergeCell ref="A17:E17"/>
    <mergeCell ref="A18:E18"/>
    <mergeCell ref="A19:E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2026-09-19T00:08:39Z</dcterms:modified>
</cp:coreProperties>
</file>