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<sst xmlns="http://schemas.openxmlformats.org/spreadsheetml/2006/main" count="121" uniqueCount="108">
  <si>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Palo Alto Networks, Inc. (PANW)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</si>
  <si>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</si>
  <si>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</si>
  <si>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</si>
  <si>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</si>
  <si>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</si>
  <si>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</si>
  <si>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</si>
  <si>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</si>
  <si>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</si>
  <si>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</si>
  <si>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</si>
  <si>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</si>
  <si>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</si>
  <si>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</si>
  <si>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</si>
  <si>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</si>
  <si>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</si>
  <si>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</si>
  <si>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</si>
  <si>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</si>
  <si>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</si>
  <si>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</si>
  <si>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</si>
  <si>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</si>
  <si>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</si>
  <si>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</si>
  <si>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</si>
  <si>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</si>
  <si>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</si>
  <si>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</si>
  <si>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</si>
  <si>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</si>
  <si>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</si>
  <si>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</si>
  <si>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</si>
  <si>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</si>
  <si>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</si>
  <si>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</si>
  <si>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</si>
  <si>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</si>
  <si>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</si>
  <si>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</si>
  <si>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</si>
  <si>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</si>
  <si>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</si>
  <si>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</si>
  <si>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</si>
  <si>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</si>
  <si>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</si>
  <si>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</si>
  <si>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</si>
  <si>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</si>
  <si>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</si>
  <si>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</si>
  <si>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</si>
  <si>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</si>
  <si>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</si>
  <si>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</si>
  <si>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</si>
  <si>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</si>
  <si>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</si>
  <si>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</si>
  <si>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</si>
  <si>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</si>
  <si>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</si>
  <si>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</si>
  <si>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</si>
  <si>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</si>
  <si>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</si>
  <si>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</si>
  <si>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</si>
  <si>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</si>
  <si>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</si>
  <si>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</si>
  <si>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</si>
  <si>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</si>
  <si>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</si>
  <si>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</si>
  <si>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</si>
  <si>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</si>
  <si>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</si>
  <si>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</si>
  <si>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</si>
  <si>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</si>
  <si>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</si>
  <si>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2026-07-31</t>
  </si>
  <si>
    <t>2025-07-31</t>
  </si>
  <si>
    <t>2024-07-31</t>
  </si>
  <si>
    <t>2023-07-31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</si>
  <si>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</si>
  <si>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</si>
  <si>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</si>
  <si>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</si>
  <si>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</si>
  <si>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</si>
  <si>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</si>
  <si>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</si>
  <si>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</si>
  <si>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</si>
  <si>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</si>
  <si>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</si>
  <si>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</si>
  <si>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</si>
  <si>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</si>
  <si>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5.9%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</si>
  <si>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192.8x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</si>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</sst>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0.23461556968641117</v>
      </c>
    </row>
    <row r="7" spans="1:2" x14ac:dyDescent="0.25">
      <c r="A7" t="s">
        <v>4</v>
      </c>
      <c r="B7" s="5">
        <v>0.0841858393951779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0.046999377338928325</v>
      </c>
    </row>
    <row r="10" spans="1:3" x14ac:dyDescent="0.25">
      <c r="A10" t="s">
        <v>7</v>
      </c>
      <c r="B10" s="5">
        <v>0.026474637869826494</v>
      </c>
      <c r="C10" s="6" t="s">
        <v>8</v>
      </c>
    </row>
    <row r="11" spans="1:2" x14ac:dyDescent="0.25">
      <c r="A11" t="s">
        <v>9</v>
      </c>
      <c r="B11" s="5">
        <v>0.30406203553301503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0.08905236949855247</v>
      </c>
      <c r="C14" s="6" t="s">
        <v>13</v>
      </c>
    </row>
    <row r="15" spans="1:3" x14ac:dyDescent="0.25">
      <c r="A15" t="s">
        <v>14</v>
      </c>
      <c r="B15" s="5">
        <v>0.049018547774511444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0.95511</v>
      </c>
      <c r="C19" s="6" t="s">
        <v>21</v>
      </c>
    </row>
    <row r="20" spans="1:2" x14ac:dyDescent="0.25">
      <c r="A20" t="s">
        <v>22</v>
      </c>
      <c r="B20" s="9">
        <f>B17+B19*B18</f>
        <v>0.089341153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299443781632</v>
      </c>
    </row>
    <row r="23" spans="1:2" x14ac:dyDescent="0.25">
      <c r="A23" t="s">
        <v>26</v>
      </c>
      <c r="B23" s="10">
        <v>2500000000</v>
      </c>
    </row>
    <row r="24" spans="1:2" x14ac:dyDescent="0.25">
      <c r="A24" t="s">
        <v>27</v>
      </c>
      <c r="B24" s="9">
        <f>B22/(B22+B23)</f>
        <v>0.9917203130116224</v>
      </c>
    </row>
    <row r="25" spans="1:2" x14ac:dyDescent="0.25">
      <c r="A25" t="s">
        <v>28</v>
      </c>
      <c r="B25" s="9">
        <f>1-B24</f>
        <v>0.008279686988377555</v>
      </c>
    </row>
    <row r="26" spans="1:2" x14ac:dyDescent="0.25">
      <c r="A26" t="s">
        <v>29</v>
      </c>
      <c r="B26" s="11">
        <f>B24*B20+B25*B21*(1-B8)</f>
        <v>0.08905236949855247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11480000000</v>
      </c>
      <c r="C29" s="6" t="s">
        <v>32</v>
      </c>
    </row>
    <row r="30" spans="1:2" x14ac:dyDescent="0.25">
      <c r="A30" t="s">
        <v>33</v>
      </c>
      <c r="B30" s="10">
        <v>-571000000</v>
      </c>
    </row>
    <row r="31" spans="1:2" x14ac:dyDescent="0.25">
      <c r="A31" t="s">
        <v>34</v>
      </c>
      <c r="B31" s="12">
        <v>764000000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0.23461556968641117</v>
      </c>
      <c r="C5" s="5">
        <v>0.14494831106259642</v>
      </c>
      <c r="D5" s="5">
        <v>0.12995477217977186</v>
      </c>
      <c r="E5" s="5">
        <v>0.11496123329694732</v>
      </c>
      <c r="F5" s="5">
        <v>0.09996769441412276</v>
      </c>
      <c r="G5" s="5">
        <v>0.08497415553129821</v>
      </c>
      <c r="H5" s="5">
        <v>0.06998061664847366</v>
      </c>
      <c r="I5" s="5">
        <v>0.054987077765649095</v>
      </c>
      <c r="J5" s="5">
        <v>0.039993538882824545</v>
      </c>
      <c r="K5" s="5">
        <v>0.024999999999999994</v>
      </c>
    </row>
    <row r="6" spans="1:11" x14ac:dyDescent="0.25">
      <c r="A6" t="s">
        <v>50</v>
      </c>
      <c r="B6" s="18">
        <f>Assumptions!B29*(1+B5)</f>
        <v>14173386740</v>
      </c>
      <c r="C6" s="18">
        <f>B6*(1+C5)</f>
        <v>16227795210</v>
      </c>
      <c r="D6" s="18">
        <f>C6*(1+D5)</f>
        <v>18336674639.49554</v>
      </c>
      <c r="E6" s="18">
        <f>D6*(1+E5)</f>
        <v>20444681370.616806</v>
      </c>
      <c r="F6" s="18">
        <f>E6*(1+F5)</f>
        <v>22488489030.268738</v>
      </c>
      <c r="G6" s="18">
        <f>F6*(1+G5)</f>
        <v>24399429394.790688</v>
      </c>
      <c r="H6" s="18">
        <f>G6*(1+H5)</f>
        <v>26106916509.709038</v>
      </c>
      <c r="I6" s="18">
        <f>H6*(1+I5)</f>
        <v>27542459558.049717</v>
      </c>
      <c r="J6" s="18">
        <f>I6*(1+J5)</f>
        <v>28643979985.3132</v>
      </c>
      <c r="K6" s="18">
        <f>J6*(1+K5)</f>
        <v>29360079484.94603</v>
      </c>
    </row>
    <row r="7" spans="1:11" x14ac:dyDescent="0.25">
      <c r="A7" t="s">
        <v>4</v>
      </c>
      <c r="B7" s="9">
        <f>Assumptions!B7</f>
        <v>0.0841858393951779</v>
      </c>
      <c r="C7" s="9">
        <f>Assumptions!B7</f>
        <v>0.0841858393951779</v>
      </c>
      <c r="D7" s="9">
        <f>Assumptions!B7</f>
        <v>0.0841858393951779</v>
      </c>
      <c r="E7" s="9">
        <f>Assumptions!B7</f>
        <v>0.0841858393951779</v>
      </c>
      <c r="F7" s="9">
        <f>Assumptions!B7</f>
        <v>0.0841858393951779</v>
      </c>
      <c r="G7" s="9">
        <f>Assumptions!B7</f>
        <v>0.0841858393951779</v>
      </c>
      <c r="H7" s="9">
        <f>Assumptions!B7</f>
        <v>0.0841858393951779</v>
      </c>
      <c r="I7" s="9">
        <f>Assumptions!B7</f>
        <v>0.0841858393951779</v>
      </c>
      <c r="J7" s="9">
        <f>Assumptions!B7</f>
        <v>0.0841858393951779</v>
      </c>
      <c r="K7" s="9">
        <f>Assumptions!B7</f>
        <v>0.0841858393951779</v>
      </c>
    </row>
    <row r="8" spans="1:11" x14ac:dyDescent="0.25">
      <c r="A8" t="s">
        <v>51</v>
      </c>
      <c r="B8" s="18">
        <f>B6*B7</f>
        <v>1193198459.7793841</v>
      </c>
      <c r="C8" s="18">
        <f>C6*C7</f>
        <v>1366150561.2868972</v>
      </c>
      <c r="D8" s="18">
        <f>D6*D7</f>
        <v>1543688346.2422032</v>
      </c>
      <c r="E8" s="18">
        <f>E6*E7</f>
        <v>1721152662.352332</v>
      </c>
      <c r="F8" s="18">
        <f>F6*F7</f>
        <v>1893212325.742424</v>
      </c>
      <c r="G8" s="18">
        <f>G6*G7</f>
        <v>2054086444.3638315</v>
      </c>
      <c r="H8" s="18">
        <f>H6*H7</f>
        <v>2197832680.3896837</v>
      </c>
      <c r="I8" s="18">
        <f>I6*I7</f>
        <v>2318685076.902156</v>
      </c>
      <c r="J8" s="18">
        <f>J6*J7</f>
        <v>2411417498.6822677</v>
      </c>
      <c r="K8" s="18">
        <f>K6*K7</f>
        <v>2471702936.149324</v>
      </c>
    </row>
    <row r="9" spans="1:11" x14ac:dyDescent="0.25">
      <c r="A9" t="s">
        <v>52</v>
      </c>
      <c r="B9" s="18">
        <f>B8*(1-Assumptions!B8)</f>
        <v>942626783.2257135</v>
      </c>
      <c r="C9" s="18">
        <f>C8*(1-Assumptions!B8)</f>
        <v>1079258943.4166489</v>
      </c>
      <c r="D9" s="18">
        <f>D8*(1-Assumptions!B8)</f>
        <v>1219513793.5313406</v>
      </c>
      <c r="E9" s="18">
        <f>E8*(1-Assumptions!B8)</f>
        <v>1359710603.2583425</v>
      </c>
      <c r="F9" s="18">
        <f>F8*(1-Assumptions!B8)</f>
        <v>1495637737.336515</v>
      </c>
      <c r="G9" s="18">
        <f>G8*(1-Assumptions!B8)</f>
        <v>1622728291.047427</v>
      </c>
      <c r="H9" s="18">
        <f>H8*(1-Assumptions!B8)</f>
        <v>1736287817.5078502</v>
      </c>
      <c r="I9" s="18">
        <f>I8*(1-Assumptions!B8)</f>
        <v>1831761210.7527032</v>
      </c>
      <c r="J9" s="18">
        <f>J8*(1-Assumptions!B8)</f>
        <v>1905019823.9589915</v>
      </c>
      <c r="K9" s="18">
        <f>K8*(1-Assumptions!B8)</f>
        <v>1952645319.557966</v>
      </c>
    </row>
    <row r="10" spans="1:11" x14ac:dyDescent="0.25">
      <c r="A10" t="s">
        <v>53</v>
      </c>
      <c r="B10" s="18">
        <f>B6*Assumptions!B9</f>
        <v>666140351.5638232</v>
      </c>
      <c r="C10" s="18">
        <f>C6*Assumptions!B9</f>
        <v>762696270.4536436</v>
      </c>
      <c r="D10" s="18">
        <f>D6*Assumptions!B9</f>
        <v>861812290.5228084</v>
      </c>
      <c r="E10" s="18">
        <f>E6*Assumptions!B9</f>
        <v>960887294.3117776</v>
      </c>
      <c r="F10" s="18">
        <f>F6*Assumptions!B9</f>
        <v>1056944981.7159507</v>
      </c>
      <c r="G10" s="18">
        <f>G6*Assumptions!B9</f>
        <v>1146757988.980307</v>
      </c>
      <c r="H10" s="18">
        <f>H6*Assumptions!B9</f>
        <v>1227008820.1957128</v>
      </c>
      <c r="I10" s="18">
        <f>I6*Assumptions!B9</f>
        <v>1294478449.6109517</v>
      </c>
      <c r="J10" s="18">
        <f>J6*Assumptions!B9</f>
        <v>1346249223.8184457</v>
      </c>
      <c r="K10" s="18">
        <f>K6*Assumptions!B9</f>
        <v>1379905454.4139068</v>
      </c>
    </row>
    <row r="11" spans="1:11" x14ac:dyDescent="0.25">
      <c r="A11" t="s">
        <v>54</v>
      </c>
      <c r="B11" s="18">
        <f>-B6*B19</f>
        <v>-375235281.33050066</v>
      </c>
      <c r="C11" s="18">
        <f>-C6*C19</f>
        <v>-500297847.27137226</v>
      </c>
      <c r="D11" s="18">
        <f>-D6*D19</f>
        <v>-645171059.2536315</v>
      </c>
      <c r="E11" s="18">
        <f>-E6*E19</f>
        <v>-808378312.0438565</v>
      </c>
      <c r="F11" s="18">
        <f>-F6*F19</f>
        <v>-987128503.0457046</v>
      </c>
      <c r="G11" s="18">
        <f>-G6*G19</f>
        <v>-1177269628.1267393</v>
      </c>
      <c r="H11" s="18">
        <f>-H6*H19</f>
        <v>-1373352587.099013</v>
      </c>
      <c r="I11" s="18">
        <f>-I6*I19</f>
        <v>-1568817997.5657775</v>
      </c>
      <c r="J11" s="18">
        <f>-J6*J19</f>
        <v>-1756306521.7071817</v>
      </c>
      <c r="K11" s="18">
        <f>-K6*K19</f>
        <v>-1928078773.8194354</v>
      </c>
    </row>
    <row r="12" spans="1:11" x14ac:dyDescent="0.25">
      <c r="A12" t="s">
        <v>55</v>
      </c>
      <c r="B12" s="18">
        <f>-(B6-Assumptions!B29)*Assumptions!B11</f>
        <v>-818956654.6420316</v>
      </c>
      <c r="C12" s="18">
        <f>-(C6-B6)*Assumptions!B11</f>
        <v>-624667621.204467</v>
      </c>
      <c r="D12" s="18">
        <f>-(D6-C6)*Assumptions!B11</f>
        <v>-641230172.0261176</v>
      </c>
      <c r="E12" s="18">
        <f>-(E6-D6)*Assumptions!B11</f>
        <v>-640964817.5820291</v>
      </c>
      <c r="F12" s="18">
        <f>-(F6-E6)*Assumptions!B11</f>
        <v>-621444317.2317339</v>
      </c>
      <c r="G12" s="18">
        <f>-(G6-F6)*Assumptions!B11</f>
        <v>-581044417.0187458</v>
      </c>
      <c r="H12" s="18">
        <f>-(H6-G6)*Assumptions!B11</f>
        <v>-519182007.8084687</v>
      </c>
      <c r="I12" s="18">
        <f>-(I6-H6)*Assumptions!B11</f>
        <v>-436494141.3737363</v>
      </c>
      <c r="J12" s="18">
        <f>-(J6-I6)*Assumptions!B11</f>
        <v>-334930543.29493165</v>
      </c>
      <c r="K12" s="18">
        <f>-(K6-J6)*Assumptions!B11</f>
        <v>-217738671.50253117</v>
      </c>
    </row>
    <row r="13" spans="1:11" x14ac:dyDescent="0.25">
      <c r="A13" s="19" t="s">
        <v>56</v>
      </c>
      <c r="B13" s="20">
        <f>B9+B10+B11+B12</f>
        <v>414575198.81700456</v>
      </c>
      <c r="C13" s="20">
        <f>C9+C10+C11+C12</f>
        <v>716989745.394453</v>
      </c>
      <c r="D13" s="20">
        <f>D9+D10+D11+D12</f>
        <v>794924852.7744</v>
      </c>
      <c r="E13" s="20">
        <f>E9+E10+E11+E12</f>
        <v>871254767.9442341</v>
      </c>
      <c r="F13" s="20">
        <f>F9+F10+F11+F12</f>
        <v>944009898.7750269</v>
      </c>
      <c r="G13" s="20">
        <f>G9+G10+G11+G12</f>
        <v>1011172234.8822488</v>
      </c>
      <c r="H13" s="20">
        <f>H9+H10+H11+H12</f>
        <v>1070762042.796081</v>
      </c>
      <c r="I13" s="20">
        <f>I9+I10+I11+I12</f>
        <v>1120927521.4241412</v>
      </c>
      <c r="J13" s="20">
        <f>J9+J10+J11+J12</f>
        <v>1160031982.7753239</v>
      </c>
      <c r="K13" s="20">
        <f>K9+K10+K11+K12</f>
        <v>1186733328.6499062</v>
      </c>
    </row>
    <row r="14" spans="1:11" x14ac:dyDescent="0.25">
      <c r="A14" t="s">
        <v>57</v>
      </c>
      <c r="B14" s="21">
        <f>1/(1+Assumptions!$B$26)^(1-0.5*Assumptions!$B$32)</f>
        <v>0.9582429171778546</v>
      </c>
      <c r="C14" s="21">
        <f>1/(1+Assumptions!$B$26)^(2-0.5*Assumptions!$B$32)</f>
        <v>0.8798869035279466</v>
      </c>
      <c r="D14" s="21">
        <f>1/(1+Assumptions!$B$26)^(3-0.5*Assumptions!$B$32)</f>
        <v>0.8079381012072773</v>
      </c>
      <c r="E14" s="21">
        <f>1/(1+Assumptions!$B$26)^(4-0.5*Assumptions!$B$32)</f>
        <v>0.7418725892670225</v>
      </c>
      <c r="F14" s="21">
        <f>1/(1+Assumptions!$B$26)^(5-0.5*Assumptions!$B$32)</f>
        <v>0.6812092880424226</v>
      </c>
      <c r="G14" s="21">
        <f>1/(1+Assumptions!$B$26)^(6-0.5*Assumptions!$B$32)</f>
        <v>0.625506455999064</v>
      </c>
      <c r="H14" s="21">
        <f>1/(1+Assumptions!$B$26)^(7-0.5*Assumptions!$B$32)</f>
        <v>0.5743584730338308</v>
      </c>
      <c r="I14" s="21">
        <f>1/(1+Assumptions!$B$26)^(8-0.5*Assumptions!$B$32)</f>
        <v>0.5273928868069867</v>
      </c>
      <c r="J14" s="21">
        <f>1/(1+Assumptions!$B$26)^(9-0.5*Assumptions!$B$32)</f>
        <v>0.48426770059719126</v>
      </c>
      <c r="K14" s="21">
        <f>1/(1+Assumptions!$B$26)^(10-0.5*Assumptions!$B$32)</f>
        <v>0.44466888293000023</v>
      </c>
    </row>
    <row r="15" spans="1:11" x14ac:dyDescent="0.25">
      <c r="A15" s="19" t="s">
        <v>58</v>
      </c>
      <c r="B15" s="20">
        <f>B13*B14</f>
        <v>397263747.9039955</v>
      </c>
      <c r="C15" s="20">
        <f>C13*C14</f>
        <v>630869886.9364161</v>
      </c>
      <c r="D15" s="20">
        <f>D13*D14</f>
        <v>642250076.1530231</v>
      </c>
      <c r="E15" s="20">
        <f>E13*E14</f>
        <v>646360030.6060278</v>
      </c>
      <c r="F15" s="20">
        <f>F13*F14</f>
        <v>643068311.0495355</v>
      </c>
      <c r="G15" s="20">
        <f>G13*G14</f>
        <v>632494761.0458485</v>
      </c>
      <c r="H15" s="20">
        <f>H13*H14</f>
        <v>615001251.8829424</v>
      </c>
      <c r="I15" s="20">
        <f>I13*I14</f>
        <v>591169201.4252783</v>
      </c>
      <c r="J15" s="20">
        <f>J13*J14</f>
        <v>561766020.9178066</v>
      </c>
      <c r="K15" s="20">
        <f>K13*K14</f>
        <v>527703383.5865546</v>
      </c>
    </row>
    <row r="17" spans="1:2" x14ac:dyDescent="0.25">
      <c r="A17" s="22" t="s">
        <v>59</v>
      </c>
      <c r="B17" s="23">
        <f>SUM(B15:K15)</f>
        <v>5887946671.507429</v>
      </c>
    </row>
    <row r="19" spans="1:11" x14ac:dyDescent="0.25">
      <c r="A19" t="s">
        <v>7</v>
      </c>
      <c r="B19" s="9">
        <f>Assumptions!$B$10+($B$20-Assumptions!$B$10)*0/9</f>
        <v>0.026474637869826494</v>
      </c>
      <c r="C19" s="9">
        <f>Assumptions!$B$10+($B$20-Assumptions!$B$10)*1/9</f>
        <v>0.030829687015219133</v>
      </c>
      <c r="D19" s="9">
        <f>Assumptions!$B$10+($B$20-Assumptions!$B$10)*2/9</f>
        <v>0.03518473616061177</v>
      </c>
      <c r="E19" s="9">
        <f>Assumptions!$B$10+($B$20-Assumptions!$B$10)*3/9</f>
        <v>0.03953978530600441</v>
      </c>
      <c r="F19" s="9">
        <f>Assumptions!$B$10+($B$20-Assumptions!$B$10)*4/9</f>
        <v>0.04389483445139704</v>
      </c>
      <c r="G19" s="9">
        <f>Assumptions!$B$10+($B$20-Assumptions!$B$10)*5/9</f>
        <v>0.04824988359678968</v>
      </c>
      <c r="H19" s="9">
        <f>Assumptions!$B$10+($B$20-Assumptions!$B$10)*6/9</f>
        <v>0.05260493274218232</v>
      </c>
      <c r="I19" s="9">
        <f>Assumptions!$B$10+($B$20-Assumptions!$B$10)*7/9</f>
        <v>0.05695998188757496</v>
      </c>
      <c r="J19" s="9">
        <f>Assumptions!$B$10+($B$20-Assumptions!$B$10)*8/9</f>
        <v>0.06131503103296759</v>
      </c>
      <c r="K19" s="9">
        <f>Assumptions!$B$10+($B$20-Assumptions!$B$10)*9/9</f>
        <v>0.06567008017836024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0.06567008017836024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1186733328.6499062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1952645319.557966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0.2807336867146064</v>
      </c>
    </row>
    <row r="7" spans="1:2" x14ac:dyDescent="0.25">
      <c r="A7" t="s">
        <v>66</v>
      </c>
      <c r="B7" s="18">
        <f>-MAX(B5,0)*B6</f>
        <v>-548173319.4055285</v>
      </c>
    </row>
    <row r="8" spans="1:2" x14ac:dyDescent="0.25">
      <c r="A8" t="s">
        <v>67</v>
      </c>
      <c r="B8" s="18">
        <f>IF(OR(Assumptions!$B$33=0,Assumptions!B12&lt;=0),B5,MAX(B5+B7,0))</f>
        <v>1404472000.1524374</v>
      </c>
    </row>
    <row r="9" spans="1:2" x14ac:dyDescent="0.25">
      <c r="A9" t="s">
        <v>68</v>
      </c>
      <c r="B9" s="18">
        <f>B8*(1+Assumptions!B12)/(Assumptions!B26-Assumptions!B12)</f>
        <v>22475106095.626667</v>
      </c>
    </row>
    <row r="10" spans="1:2" x14ac:dyDescent="0.25">
      <c r="A10" t="s">
        <v>69</v>
      </c>
      <c r="B10" s="18">
        <f>B9/(1+Assumptions!B26)^(10-0.5*Assumptions!B32)</f>
        <v>9993980321.275549</v>
      </c>
    </row>
    <row r="11" spans="1:2" x14ac:dyDescent="0.25">
      <c r="A11" t="s">
        <v>70</v>
      </c>
      <c r="B11" s="18">
        <f>Forecast!B17+B10</f>
        <v>15881926992.782978</v>
      </c>
    </row>
    <row r="12" spans="1:2" x14ac:dyDescent="0.25">
      <c r="A12" t="s">
        <v>71</v>
      </c>
      <c r="B12" s="18">
        <f>-Assumptions!B30</f>
        <v>571000000</v>
      </c>
    </row>
    <row r="13" spans="1:2" x14ac:dyDescent="0.25">
      <c r="A13" t="s">
        <v>72</v>
      </c>
      <c r="B13" s="18">
        <f>B11+B12</f>
        <v>16452926992.782978</v>
      </c>
    </row>
    <row r="14" spans="1:2" x14ac:dyDescent="0.25">
      <c r="A14" s="19" t="s">
        <v>73</v>
      </c>
      <c r="B14" s="24">
        <f>B13/Assumptions!B31</f>
        <v>21.535244754951542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3851608390.5632305</v>
      </c>
    </row>
    <row r="18" spans="1:2" x14ac:dyDescent="0.25">
      <c r="A18" t="s">
        <v>68</v>
      </c>
      <c r="B18" s="18">
        <f>B17*Assumptions!B13</f>
        <v>77032167811.26462</v>
      </c>
    </row>
    <row r="19" spans="1:2" x14ac:dyDescent="0.25">
      <c r="A19" t="s">
        <v>69</v>
      </c>
      <c r="B19" s="18">
        <f>B18/(1+Assumptions!B26)^(10-0.5*Assumptions!B32)</f>
        <v>34253808010.31136</v>
      </c>
    </row>
    <row r="20" spans="1:2" x14ac:dyDescent="0.25">
      <c r="A20" t="s">
        <v>70</v>
      </c>
      <c r="B20" s="18">
        <f>Forecast!B17+B19</f>
        <v>40141754681.81879</v>
      </c>
    </row>
    <row r="21" spans="1:2" x14ac:dyDescent="0.25">
      <c r="A21" t="s">
        <v>71</v>
      </c>
      <c r="B21" s="18">
        <f>-Assumptions!B30</f>
        <v>571000000</v>
      </c>
    </row>
    <row r="22" spans="1:2" x14ac:dyDescent="0.25">
      <c r="A22" t="s">
        <v>72</v>
      </c>
      <c r="B22" s="18">
        <f>B20+B21</f>
        <v>40712754681.81879</v>
      </c>
    </row>
    <row r="23" spans="1:2" x14ac:dyDescent="0.25">
      <c r="A23" s="19" t="s">
        <v>73</v>
      </c>
      <c r="B23" s="25">
        <f>B22/Assumptions!B31</f>
        <v>53.28894591861098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365.87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21.535244754951542</v>
      </c>
    </row>
    <row r="29" spans="1:2" x14ac:dyDescent="0.25">
      <c r="A29" s="19" t="s">
        <v>81</v>
      </c>
      <c r="B29" s="11">
        <f>B28/B26-1</f>
        <v>-0.9411396267664702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0.069052</v>
      </c>
      <c r="B5" s="31">
        <v>30.913920825789866</v>
      </c>
      <c r="C5" s="31">
        <v>31.08748029708388</v>
      </c>
      <c r="D5" s="31">
        <v>31.377148457185676</v>
      </c>
      <c r="E5" s="31">
        <v>31.827523030465745</v>
      </c>
      <c r="F5" s="31">
        <v>32.50939563555661</v>
      </c>
    </row>
    <row r="6" spans="1:6" x14ac:dyDescent="0.25">
      <c r="A6" s="30">
        <v>0.079052</v>
      </c>
      <c r="B6" s="31">
        <v>25.70442237644921</v>
      </c>
      <c r="C6" s="31">
        <v>25.508328112375548</v>
      </c>
      <c r="D6" s="31">
        <v>25.33498172194837</v>
      </c>
      <c r="E6" s="31">
        <v>25.191339457811754</v>
      </c>
      <c r="F6" s="31">
        <v>25.087515773210924</v>
      </c>
    </row>
    <row r="7" spans="1:6" x14ac:dyDescent="0.25">
      <c r="A7" s="30">
        <v>0.089052</v>
      </c>
      <c r="B7" s="31">
        <v>22.110587522926274</v>
      </c>
      <c r="C7" s="31">
        <v>21.82296728720651</v>
      </c>
      <c r="D7" s="32">
        <v>21.535347051486738</v>
      </c>
      <c r="E7" s="31">
        <v>21.247726815766978</v>
      </c>
      <c r="F7" s="31">
        <v>20.960106580047206</v>
      </c>
    </row>
    <row r="8" spans="1:6" x14ac:dyDescent="0.25">
      <c r="A8" s="30">
        <v>0.099052</v>
      </c>
      <c r="B8" s="31">
        <v>19.548661470140825</v>
      </c>
      <c r="C8" s="31">
        <v>19.304105313184184</v>
      </c>
      <c r="D8" s="31">
        <v>19.059549156227547</v>
      </c>
      <c r="E8" s="31">
        <v>18.81499299927091</v>
      </c>
      <c r="F8" s="31">
        <v>18.570436842314265</v>
      </c>
    </row>
    <row r="9" spans="1:6" x14ac:dyDescent="0.25">
      <c r="A9" s="30">
        <v>0.109052</v>
      </c>
      <c r="B9" s="31">
        <v>17.481052440547217</v>
      </c>
      <c r="C9" s="31">
        <v>17.270798144183328</v>
      </c>
      <c r="D9" s="31">
        <v>17.060543847819442</v>
      </c>
      <c r="E9" s="31">
        <v>16.850289551455553</v>
      </c>
      <c r="F9" s="31">
        <v>16.64003525509166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11480000000</v>
      </c>
      <c r="C5" s="18">
        <v>9221000000</v>
      </c>
      <c r="D5" s="18">
        <v>8027000000</v>
      </c>
      <c r="E5" s="18">
        <v>6892700000</v>
      </c>
      <c r="F5" s="6" t="s">
        <v>91</v>
      </c>
    </row>
    <row r="6" spans="1:6" x14ac:dyDescent="0.25">
      <c r="A6" t="s">
        <v>51</v>
      </c>
      <c r="B6" s="18">
        <v>695000000</v>
      </c>
      <c r="C6" s="18">
        <v>1243000000</v>
      </c>
      <c r="D6" s="18">
        <v>684000000</v>
      </c>
      <c r="E6" s="18">
        <v>387300000</v>
      </c>
      <c r="F6" s="6" t="s">
        <v>92</v>
      </c>
    </row>
    <row r="7" spans="1:6" x14ac:dyDescent="0.25">
      <c r="A7" t="s">
        <v>93</v>
      </c>
      <c r="B7" s="18">
        <v>855000000</v>
      </c>
      <c r="C7" s="18">
        <v>343000000</v>
      </c>
      <c r="D7" s="18">
        <v>284000000</v>
      </c>
      <c r="E7" s="18">
        <v>282200000</v>
      </c>
      <c r="F7" s="6" t="s">
        <v>94</v>
      </c>
    </row>
    <row r="8" spans="1:6" x14ac:dyDescent="0.25">
      <c r="A8" t="s">
        <v>95</v>
      </c>
      <c r="B8" s="18">
        <v>440000000</v>
      </c>
      <c r="C8" s="18">
        <v>247000000</v>
      </c>
      <c r="D8" s="18">
        <v>157000000</v>
      </c>
      <c r="E8" s="18">
        <v>146300000</v>
      </c>
      <c r="F8" s="6" t="s">
        <v>96</v>
      </c>
    </row>
    <row r="9" spans="1:6" x14ac:dyDescent="0.25">
      <c r="A9" t="s">
        <v>97</v>
      </c>
      <c r="B9" s="18">
        <v>-579000000</v>
      </c>
      <c r="C9" s="18">
        <v>-923000000</v>
      </c>
      <c r="D9" s="18">
        <v>-909000000</v>
      </c>
      <c r="E9" s="18">
        <v>-550800000</v>
      </c>
      <c r="F9" s="6" t="s">
        <v>98</v>
      </c>
    </row>
    <row r="10" spans="1:6" x14ac:dyDescent="0.25">
      <c r="A10" t="s">
        <v>99</v>
      </c>
      <c r="B10" s="18">
        <v>2500000000</v>
      </c>
      <c r="C10" s="18">
        <v>338000000</v>
      </c>
      <c r="D10" s="18">
        <v>1344400000</v>
      </c>
      <c r="E10" s="18">
        <v>2270700000</v>
      </c>
      <c r="F10" s="6" t="s">
        <v>100</v>
      </c>
    </row>
    <row r="11" spans="1:6" x14ac:dyDescent="0.25">
      <c r="A11" t="s">
        <v>101</v>
      </c>
      <c r="B11" s="18">
        <v>3071000000</v>
      </c>
      <c r="C11" s="18">
        <v>2904000000</v>
      </c>
      <c r="D11" s="18">
        <v>2578800000</v>
      </c>
      <c r="E11" s="18">
        <v>2390000000</v>
      </c>
      <c r="F11" s="6" t="s">
        <v>102</v>
      </c>
    </row>
    <row r="12" spans="1:6" x14ac:dyDescent="0.25">
      <c r="A12" t="s">
        <v>34</v>
      </c>
      <c r="B12" s="34">
        <v>764000000</v>
      </c>
      <c r="C12" s="34">
        <v>709300000</v>
      </c>
      <c r="D12" s="34">
        <v>708000000</v>
      </c>
      <c r="E12" s="34">
        <v>684600000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