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<sst xmlns="http://schemas.openxmlformats.org/spreadsheetml/2006/main" count="119" uniqueCount="106">
  <si>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Paychex, Inc. (PAYX)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</si>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</sst>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0.054054126228501254</v>
      </c>
    </row>
    <row r="7" spans="1:2" x14ac:dyDescent="0.25">
      <c r="A7" t="s">
        <v>4</v>
      </c>
      <c r="B7" s="5">
        <v>0.3999227458878335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0.043569069009835246</v>
      </c>
    </row>
    <row r="10" spans="1:3" x14ac:dyDescent="0.25">
      <c r="A10" t="s">
        <v>7</v>
      </c>
      <c r="B10" s="5">
        <v>0.032408325971534424</v>
      </c>
      <c r="C10" s="6" t="s">
        <v>8</v>
      </c>
    </row>
    <row r="11" spans="1:2" x14ac:dyDescent="0.25">
      <c r="A11" t="s">
        <v>9</v>
      </c>
      <c r="B11" s="5">
        <v>0.19436293007376498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14.695179308523247</v>
      </c>
    </row>
    <row r="14" spans="1:3" x14ac:dyDescent="0.25">
      <c r="A14" t="s">
        <v>12</v>
      </c>
      <c r="B14" s="5">
        <v>0.30555167683018297</v>
      </c>
      <c r="C14" s="6" t="s">
        <v>13</v>
      </c>
    </row>
    <row r="15" spans="1:3" x14ac:dyDescent="0.25">
      <c r="A15" t="s">
        <v>14</v>
      </c>
      <c r="B15" s="5">
        <v>0.02327398615072148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0.89816</v>
      </c>
      <c r="C19" s="6" t="s">
        <v>21</v>
      </c>
    </row>
    <row r="20" spans="1:2" x14ac:dyDescent="0.25">
      <c r="A20" t="s">
        <v>22</v>
      </c>
      <c r="B20" s="9">
        <f>B17+B19*B18</f>
        <v>0.086932168</v>
      </c>
    </row>
    <row r="21" spans="1:3" x14ac:dyDescent="0.25">
      <c r="A21" t="s">
        <v>23</v>
      </c>
      <c r="B21" s="5">
        <v>0.05596743712748946</v>
      </c>
      <c r="C21" s="6" t="s">
        <v>24</v>
      </c>
    </row>
    <row r="22" spans="1:2" x14ac:dyDescent="0.25">
      <c r="A22" t="s">
        <v>25</v>
      </c>
      <c r="B22" s="10">
        <v>39912534016</v>
      </c>
    </row>
    <row r="23" spans="1:2" x14ac:dyDescent="0.25">
      <c r="A23" t="s">
        <v>26</v>
      </c>
      <c r="B23" s="10">
        <v>4608300000</v>
      </c>
    </row>
    <row r="24" spans="1:2" x14ac:dyDescent="0.25">
      <c r="A24" t="s">
        <v>27</v>
      </c>
      <c r="B24" s="9">
        <f>B22/(B22+B23)</f>
        <v>0.896491157413092</v>
      </c>
    </row>
    <row r="25" spans="1:2" x14ac:dyDescent="0.25">
      <c r="A25" t="s">
        <v>28</v>
      </c>
      <c r="B25" s="9">
        <f>1-B24</f>
        <v>0.10350884258690796</v>
      </c>
    </row>
    <row r="26" spans="1:2" x14ac:dyDescent="0.25">
      <c r="A26" t="s">
        <v>29</v>
      </c>
      <c r="B26" s="11">
        <f>B24*B20+B25*B21*(1-B8)</f>
        <v>0.08251048837205072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6512000000</v>
      </c>
      <c r="C29" s="6" t="s">
        <v>32</v>
      </c>
    </row>
    <row r="30" spans="1:2" x14ac:dyDescent="0.25">
      <c r="A30" t="s">
        <v>33</v>
      </c>
      <c r="B30" s="10">
        <v>3483800000</v>
      </c>
    </row>
    <row r="31" spans="1:2" x14ac:dyDescent="0.25">
      <c r="A31" t="s">
        <v>34</v>
      </c>
      <c r="B31" s="12">
        <v>360000000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0.054054126228501254</v>
      </c>
      <c r="C5" s="5">
        <v>0.05474996274293664</v>
      </c>
      <c r="D5" s="5">
        <v>0.051031217400069565</v>
      </c>
      <c r="E5" s="5">
        <v>0.04731247205720248</v>
      </c>
      <c r="F5" s="5">
        <v>0.0435937267143354</v>
      </c>
      <c r="G5" s="5">
        <v>0.03987498137146832</v>
      </c>
      <c r="H5" s="5">
        <v>0.03615623602860124</v>
      </c>
      <c r="I5" s="5">
        <v>0.03243749068573416</v>
      </c>
      <c r="J5" s="5">
        <v>0.028718745342867082</v>
      </c>
      <c r="K5" s="5">
        <v>0.025</v>
      </c>
    </row>
    <row r="6" spans="1:11" x14ac:dyDescent="0.25">
      <c r="A6" t="s">
        <v>50</v>
      </c>
      <c r="B6" s="18">
        <f>Assumptions!B29*(1+B5)</f>
        <v>6864000470</v>
      </c>
      <c r="C6" s="18">
        <f>B6*(1+C5)</f>
        <v>7239804240</v>
      </c>
      <c r="D6" s="18">
        <f>C6*(1+D5)</f>
        <v>7609260264.105386</v>
      </c>
      <c r="E6" s="18">
        <f>D6*(1+E5)</f>
        <v>7969273177.726852</v>
      </c>
      <c r="F6" s="18">
        <f>E6*(1+F5)</f>
        <v>8316683494.74856</v>
      </c>
      <c r="G6" s="18">
        <f>F6*(1+G5)</f>
        <v>8648311094.174057</v>
      </c>
      <c r="H6" s="18">
        <f>G6*(1+H5)</f>
        <v>8961001471.343784</v>
      </c>
      <c r="I6" s="18">
        <f>H6*(1+I5)</f>
        <v>9251673873.105349</v>
      </c>
      <c r="J6" s="18">
        <f>I6*(1+J5)</f>
        <v>9517370339.062317</v>
      </c>
      <c r="K6" s="18">
        <f>J6*(1+K5)</f>
        <v>9755304597.538874</v>
      </c>
    </row>
    <row r="7" spans="1:11" x14ac:dyDescent="0.25">
      <c r="A7" t="s">
        <v>4</v>
      </c>
      <c r="B7" s="9">
        <f>Assumptions!B7</f>
        <v>0.3999227458878335</v>
      </c>
      <c r="C7" s="9">
        <f>Assumptions!B7</f>
        <v>0.3999227458878335</v>
      </c>
      <c r="D7" s="9">
        <f>Assumptions!B7</f>
        <v>0.3999227458878335</v>
      </c>
      <c r="E7" s="9">
        <f>Assumptions!B7</f>
        <v>0.3999227458878335</v>
      </c>
      <c r="F7" s="9">
        <f>Assumptions!B7</f>
        <v>0.3999227458878335</v>
      </c>
      <c r="G7" s="9">
        <f>Assumptions!B7</f>
        <v>0.3999227458878335</v>
      </c>
      <c r="H7" s="9">
        <f>Assumptions!B7</f>
        <v>0.3999227458878335</v>
      </c>
      <c r="I7" s="9">
        <f>Assumptions!B7</f>
        <v>0.3999227458878335</v>
      </c>
      <c r="J7" s="9">
        <f>Assumptions!B7</f>
        <v>0.3999227458878335</v>
      </c>
      <c r="K7" s="9">
        <f>Assumptions!B7</f>
        <v>0.3999227458878335</v>
      </c>
    </row>
    <row r="8" spans="1:11" x14ac:dyDescent="0.25">
      <c r="A8" t="s">
        <v>51</v>
      </c>
      <c r="B8" s="18">
        <f>B6*B7</f>
        <v>2745069915.7377796</v>
      </c>
      <c r="C8" s="18">
        <f>C6*C7</f>
        <v>2895362391.3511796</v>
      </c>
      <c r="D8" s="18">
        <f>D6*D7</f>
        <v>3043116258.996207</v>
      </c>
      <c r="E8" s="18">
        <f>E6*E7</f>
        <v>3187093611.9667835</v>
      </c>
      <c r="F8" s="18">
        <f>F6*F7</f>
        <v>3326030899.8998675</v>
      </c>
      <c r="G8" s="18">
        <f>G6*G7</f>
        <v>3458656320.0743027</v>
      </c>
      <c r="H8" s="18">
        <f>H6*H7</f>
        <v>3583708314.3247223</v>
      </c>
      <c r="I8" s="18">
        <f>I6*I7</f>
        <v>3699954819.391019</v>
      </c>
      <c r="J8" s="18">
        <f>J6*J7</f>
        <v>3806212879.629223</v>
      </c>
      <c r="K8" s="18">
        <f>K6*K7</f>
        <v>3901368201.6199527</v>
      </c>
    </row>
    <row r="9" spans="1:11" x14ac:dyDescent="0.25">
      <c r="A9" t="s">
        <v>52</v>
      </c>
      <c r="B9" s="18">
        <f>B8*(1-Assumptions!B8)</f>
        <v>2168605233.432846</v>
      </c>
      <c r="C9" s="18">
        <f>C8*(1-Assumptions!B8)</f>
        <v>2287336289.167432</v>
      </c>
      <c r="D9" s="18">
        <f>D8*(1-Assumptions!B8)</f>
        <v>2404061844.6070037</v>
      </c>
      <c r="E9" s="18">
        <f>E8*(1-Assumptions!B8)</f>
        <v>2517803953.453759</v>
      </c>
      <c r="F9" s="18">
        <f>F8*(1-Assumptions!B8)</f>
        <v>2627564410.9208956</v>
      </c>
      <c r="G9" s="18">
        <f>G8*(1-Assumptions!B8)</f>
        <v>2732338492.8586993</v>
      </c>
      <c r="H9" s="18">
        <f>H8*(1-Assumptions!B8)</f>
        <v>2831129568.3165307</v>
      </c>
      <c r="I9" s="18">
        <f>I8*(1-Assumptions!B8)</f>
        <v>2922964307.318905</v>
      </c>
      <c r="J9" s="18">
        <f>J8*(1-Assumptions!B8)</f>
        <v>3006908174.9070864</v>
      </c>
      <c r="K9" s="18">
        <f>K8*(1-Assumptions!B8)</f>
        <v>3082080879.2797627</v>
      </c>
    </row>
    <row r="10" spans="1:11" x14ac:dyDescent="0.25">
      <c r="A10" t="s">
        <v>53</v>
      </c>
      <c r="B10" s="18">
        <f>B6*Assumptions!B9</f>
        <v>299058110.1609716</v>
      </c>
      <c r="C10" s="18">
        <f>C6*Assumptions!B9</f>
        <v>315431530.5502578</v>
      </c>
      <c r="D10" s="18">
        <f>D6*Assumptions!B9</f>
        <v>331528385.5606047</v>
      </c>
      <c r="E10" s="18">
        <f>E6*Assumptions!B9</f>
        <v>347213813.0386103</v>
      </c>
      <c r="F10" s="18">
        <f>F6*Assumptions!B9</f>
        <v>362350157.11565775</v>
      </c>
      <c r="G10" s="18">
        <f>G6*Assumptions!B9</f>
        <v>376798862.88059324</v>
      </c>
      <c r="H10" s="18">
        <f>H6*Assumptions!B9</f>
        <v>390422491.5022125</v>
      </c>
      <c r="I10" s="18">
        <f>I6*Assumptions!B9</f>
        <v>403086817.4338167</v>
      </c>
      <c r="J10" s="18">
        <f>J6*Assumptions!B9</f>
        <v>414662965.0947651</v>
      </c>
      <c r="K10" s="18">
        <f>K6*Assumptions!B9</f>
        <v>425029539.22213423</v>
      </c>
    </row>
    <row r="11" spans="1:11" x14ac:dyDescent="0.25">
      <c r="A11" t="s">
        <v>54</v>
      </c>
      <c r="B11" s="18">
        <f>-B6*B19</f>
        <v>-222450764.7005255</v>
      </c>
      <c r="C11" s="18">
        <f>-C6*C19</f>
        <v>-249131551.13754803</v>
      </c>
      <c r="D11" s="18">
        <f>-D6*D19</f>
        <v>-277086687.92835814</v>
      </c>
      <c r="E11" s="18">
        <f>-E6*E19</f>
        <v>-306159114.7125981</v>
      </c>
      <c r="F11" s="18">
        <f>-F6*F19</f>
        <v>-336164378.7540121</v>
      </c>
      <c r="G11" s="18">
        <f>-G6*G19</f>
        <v>-366891837.60741687</v>
      </c>
      <c r="H11" s="18">
        <f>-H6*H19</f>
        <v>-398106507.23895967</v>
      </c>
      <c r="I11" s="18">
        <f>-I6*I19</f>
        <v>-429551553.47570807</v>
      </c>
      <c r="J11" s="18">
        <f>-J6*J19</f>
        <v>-460951405.838962</v>
      </c>
      <c r="K11" s="18">
        <f>-K6*K19</f>
        <v>-492015453.43947196</v>
      </c>
    </row>
    <row r="12" spans="1:11" x14ac:dyDescent="0.25">
      <c r="A12" t="s">
        <v>55</v>
      </c>
      <c r="B12" s="18">
        <f>-(B6-Assumptions!B29)*Assumptions!B11</f>
        <v>-68415842.7365424</v>
      </c>
      <c r="C12" s="18">
        <f>-(C6-B6)*Assumptions!B11</f>
        <v>-73042321.86996725</v>
      </c>
      <c r="D12" s="18">
        <f>-(D6-C6)*Assumptions!B11</f>
        <v>-71808555.37852633</v>
      </c>
      <c r="E12" s="18">
        <f>-(E6-D6)*Assumptions!B11</f>
        <v>-69973164.7558615</v>
      </c>
      <c r="F12" s="18">
        <f>-(F6-E6)*Assumptions!B11</f>
        <v>-67523687.15419467</v>
      </c>
      <c r="G12" s="18">
        <f>-(G6-F6)*Assumptions!B11</f>
        <v>-64456111.91766843</v>
      </c>
      <c r="H12" s="18">
        <f>-(H6-G6)*Assumptions!B11</f>
        <v>-60775417.91257891</v>
      </c>
      <c r="I12" s="18">
        <f>-(I6-H6)*Assumptions!B11</f>
        <v>-56495939.697956234</v>
      </c>
      <c r="J12" s="18">
        <f>-(J6-I6)*Assumptions!B11</f>
        <v>-51641543.63364071</v>
      </c>
      <c r="K12" s="18">
        <f>-(K6-J6)*Assumptions!B11</f>
        <v>-46245599.64243213</v>
      </c>
    </row>
    <row r="13" spans="1:11" x14ac:dyDescent="0.25">
      <c r="A13" s="19" t="s">
        <v>56</v>
      </c>
      <c r="B13" s="20">
        <f>B9+B10+B11+B12</f>
        <v>2176796736.15675</v>
      </c>
      <c r="C13" s="20">
        <f>C9+C10+C11+C12</f>
        <v>2280593946.710174</v>
      </c>
      <c r="D13" s="20">
        <f>D9+D10+D11+D12</f>
        <v>2386694986.860724</v>
      </c>
      <c r="E13" s="20">
        <f>E9+E10+E11+E12</f>
        <v>2488885487.0239105</v>
      </c>
      <c r="F13" s="20">
        <f>F9+F10+F11+F12</f>
        <v>2586226502.1283464</v>
      </c>
      <c r="G13" s="20">
        <f>G9+G10+G11+G12</f>
        <v>2677789406.2142076</v>
      </c>
      <c r="H13" s="20">
        <f>H9+H10+H11+H12</f>
        <v>2762670134.6672044</v>
      </c>
      <c r="I13" s="20">
        <f>I9+I10+I11+I12</f>
        <v>2840003631.5790577</v>
      </c>
      <c r="J13" s="20">
        <f>J9+J10+J11+J12</f>
        <v>2908978190.5292487</v>
      </c>
      <c r="K13" s="20">
        <f>K9+K10+K11+K12</f>
        <v>2968849365.4199924</v>
      </c>
    </row>
    <row r="14" spans="1:11" x14ac:dyDescent="0.25">
      <c r="A14" t="s">
        <v>57</v>
      </c>
      <c r="B14" s="21">
        <f>1/(1+Assumptions!$B$26)^(1-0.5*Assumptions!$B$32)</f>
        <v>0.961134006448891</v>
      </c>
      <c r="C14" s="21">
        <f>1/(1+Assumptions!$B$26)^(2-0.5*Assumptions!$B$32)</f>
        <v>0.8878750060835962</v>
      </c>
      <c r="D14" s="21">
        <f>1/(1+Assumptions!$B$26)^(3-0.5*Assumptions!$B$32)</f>
        <v>0.8201999108746187</v>
      </c>
      <c r="E14" s="21">
        <f>1/(1+Assumptions!$B$26)^(4-0.5*Assumptions!$B$32)</f>
        <v>0.7576831076325999</v>
      </c>
      <c r="F14" s="21">
        <f>1/(1+Assumptions!$B$26)^(5-0.5*Assumptions!$B$32)</f>
        <v>0.6999314240105451</v>
      </c>
      <c r="G14" s="21">
        <f>1/(1+Assumptions!$B$26)^(6-0.5*Assumptions!$B$32)</f>
        <v>0.6465816558166999</v>
      </c>
      <c r="H14" s="21">
        <f>1/(1+Assumptions!$B$26)^(7-0.5*Assumptions!$B$32)</f>
        <v>0.5972982827991544</v>
      </c>
      <c r="I14" s="21">
        <f>1/(1+Assumptions!$B$26)^(8-0.5*Assumptions!$B$32)</f>
        <v>0.5517713585365905</v>
      </c>
      <c r="J14" s="21">
        <f>1/(1+Assumptions!$B$26)^(9-0.5*Assumptions!$B$32)</f>
        <v>0.5097145611645574</v>
      </c>
      <c r="K14" s="21">
        <f>1/(1+Assumptions!$B$26)^(10-0.5*Assumptions!$B$32)</f>
        <v>0.4708633926781616</v>
      </c>
    </row>
    <row r="15" spans="1:11" x14ac:dyDescent="0.25">
      <c r="A15" s="19" t="s">
        <v>58</v>
      </c>
      <c r="B15" s="20">
        <f>B13*B14</f>
        <v>2092193368.247207</v>
      </c>
      <c r="C15" s="20">
        <f>C13*C14</f>
        <v>2024882364.3095083</v>
      </c>
      <c r="D15" s="20">
        <f>D13*D14</f>
        <v>1957567015.5080652</v>
      </c>
      <c r="E15" s="20">
        <f>E13*E14</f>
        <v>1885786490.3499534</v>
      </c>
      <c r="F15" s="20">
        <f>F13*F14</f>
        <v>1810181198.4485044</v>
      </c>
      <c r="G15" s="20">
        <f>G13*G14</f>
        <v>1731409508.1984</v>
      </c>
      <c r="H15" s="20">
        <f>H13*H14</f>
        <v>1650138127.37723</v>
      </c>
      <c r="I15" s="20">
        <f>I13*I14</f>
        <v>1567032662.0452275</v>
      </c>
      <c r="J15" s="20">
        <f>J13*J14</f>
        <v>1482748541.822884</v>
      </c>
      <c r="K15" s="20">
        <f>K13*K14</f>
        <v>1397922484.5520647</v>
      </c>
    </row>
    <row r="17" spans="1:2" x14ac:dyDescent="0.25">
      <c r="A17" s="22" t="s">
        <v>59</v>
      </c>
      <c r="B17" s="23">
        <f>SUM(B15:K15)</f>
        <v>17599861760.859043</v>
      </c>
    </row>
    <row r="19" spans="1:11" x14ac:dyDescent="0.25">
      <c r="A19" t="s">
        <v>7</v>
      </c>
      <c r="B19" s="9">
        <f>Assumptions!$B$10+($B$20-Assumptions!$B$10)*0/9</f>
        <v>0.032408325971534424</v>
      </c>
      <c r="C19" s="9">
        <f>Assumptions!$B$10+($B$20-Assumptions!$B$10)*1/9</f>
        <v>0.034411365677692415</v>
      </c>
      <c r="D19" s="9">
        <f>Assumptions!$B$10+($B$20-Assumptions!$B$10)*2/9</f>
        <v>0.03641440538385041</v>
      </c>
      <c r="E19" s="9">
        <f>Assumptions!$B$10+($B$20-Assumptions!$B$10)*3/9</f>
        <v>0.0384174450900084</v>
      </c>
      <c r="F19" s="9">
        <f>Assumptions!$B$10+($B$20-Assumptions!$B$10)*4/9</f>
        <v>0.04042048479616639</v>
      </c>
      <c r="G19" s="9">
        <f>Assumptions!$B$10+($B$20-Assumptions!$B$10)*5/9</f>
        <v>0.04242352450232438</v>
      </c>
      <c r="H19" s="9">
        <f>Assumptions!$B$10+($B$20-Assumptions!$B$10)*6/9</f>
        <v>0.04442656420848237</v>
      </c>
      <c r="I19" s="9">
        <f>Assumptions!$B$10+($B$20-Assumptions!$B$10)*7/9</f>
        <v>0.04642960391464036</v>
      </c>
      <c r="J19" s="9">
        <f>Assumptions!$B$10+($B$20-Assumptions!$B$10)*8/9</f>
        <v>0.048432643620798355</v>
      </c>
      <c r="K19" s="9">
        <f>Assumptions!$B$10+($B$20-Assumptions!$B$10)*9/9</f>
        <v>0.050435683326956346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0.050435683326956346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2968849365.4199924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3238488804.226889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0.08181922043220957</v>
      </c>
    </row>
    <row r="7" spans="1:2" x14ac:dyDescent="0.25">
      <c r="A7" t="s">
        <v>66</v>
      </c>
      <c r="B7" s="18">
        <f>-MAX(B5,0)*B6</f>
        <v>-264970629.34028262</v>
      </c>
    </row>
    <row r="8" spans="1:2" x14ac:dyDescent="0.25">
      <c r="A8" t="s">
        <v>67</v>
      </c>
      <c r="B8" s="18">
        <f>IF(OR(Assumptions!$B$33=0,Assumptions!B12&lt;=0),B5,MAX(B5+B7,0))</f>
        <v>2973518174.8866067</v>
      </c>
    </row>
    <row r="9" spans="1:2" x14ac:dyDescent="0.25">
      <c r="A9" t="s">
        <v>68</v>
      </c>
      <c r="B9" s="18">
        <f>B8*(1+Assumptions!B12)/(Assumptions!B26-Assumptions!B12)</f>
        <v>52996526642.95556</v>
      </c>
    </row>
    <row r="10" spans="1:2" x14ac:dyDescent="0.25">
      <c r="A10" t="s">
        <v>69</v>
      </c>
      <c r="B10" s="18">
        <f>B9/(1+Assumptions!B26)^(10-0.5*Assumptions!B32)</f>
        <v>24954124335.260635</v>
      </c>
    </row>
    <row r="11" spans="1:2" x14ac:dyDescent="0.25">
      <c r="A11" t="s">
        <v>70</v>
      </c>
      <c r="B11" s="18">
        <f>Forecast!B17+B10</f>
        <v>42553986096.119675</v>
      </c>
    </row>
    <row r="12" spans="1:2" x14ac:dyDescent="0.25">
      <c r="A12" t="s">
        <v>71</v>
      </c>
      <c r="B12" s="18">
        <f>-Assumptions!B30</f>
        <v>-3483800000</v>
      </c>
    </row>
    <row r="13" spans="1:2" x14ac:dyDescent="0.25">
      <c r="A13" t="s">
        <v>72</v>
      </c>
      <c r="B13" s="18">
        <f>B11+B12</f>
        <v>39070186096.119675</v>
      </c>
    </row>
    <row r="14" spans="1:2" x14ac:dyDescent="0.25">
      <c r="A14" s="19" t="s">
        <v>73</v>
      </c>
      <c r="B14" s="24">
        <f>B13/Assumptions!B31</f>
        <v>108.52829471144354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4326397740.842087</v>
      </c>
    </row>
    <row r="18" spans="1:2" x14ac:dyDescent="0.25">
      <c r="A18" t="s">
        <v>68</v>
      </c>
      <c r="B18" s="18">
        <f>B17*Assumptions!B13</f>
        <v>63577190561.66436</v>
      </c>
    </row>
    <row r="19" spans="1:2" x14ac:dyDescent="0.25">
      <c r="A19" t="s">
        <v>69</v>
      </c>
      <c r="B19" s="18">
        <f>B18/(1+Assumptions!B26)^(10-0.5*Assumptions!B32)</f>
        <v>29936171644.81127</v>
      </c>
    </row>
    <row r="20" spans="1:2" x14ac:dyDescent="0.25">
      <c r="A20" t="s">
        <v>70</v>
      </c>
      <c r="B20" s="18">
        <f>Forecast!B17+B19</f>
        <v>47536033405.67032</v>
      </c>
    </row>
    <row r="21" spans="1:2" x14ac:dyDescent="0.25">
      <c r="A21" t="s">
        <v>71</v>
      </c>
      <c r="B21" s="18">
        <f>-Assumptions!B30</f>
        <v>-3483800000</v>
      </c>
    </row>
    <row r="22" spans="1:2" x14ac:dyDescent="0.25">
      <c r="A22" t="s">
        <v>72</v>
      </c>
      <c r="B22" s="18">
        <f>B20+B21</f>
        <v>44052233405.67032</v>
      </c>
    </row>
    <row r="23" spans="1:2" x14ac:dyDescent="0.25">
      <c r="A23" s="19" t="s">
        <v>73</v>
      </c>
      <c r="B23" s="25">
        <f>B22/Assumptions!B31</f>
        <v>122.36731501575089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112.12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108.52829471144354</v>
      </c>
    </row>
    <row r="29" spans="1:2" x14ac:dyDescent="0.25">
      <c r="A29" s="19" t="s">
        <v>81</v>
      </c>
      <c r="B29" s="11">
        <f>B28/B26-1</f>
        <v>-0.032034474567931404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0.06251</v>
      </c>
      <c r="B5" s="31">
        <v>147.32877203431724</v>
      </c>
      <c r="C5" s="31">
        <v>157.54333423896472</v>
      </c>
      <c r="D5" s="31">
        <v>170.57856503714723</v>
      </c>
      <c r="E5" s="31">
        <v>187.73591102692782</v>
      </c>
      <c r="F5" s="31">
        <v>211.2629813640306</v>
      </c>
    </row>
    <row r="6" spans="1:6" x14ac:dyDescent="0.25">
      <c r="A6" s="30">
        <v>0.07251</v>
      </c>
      <c r="B6" s="31">
        <v>119.8620688512693</v>
      </c>
      <c r="C6" s="31">
        <v>125.7820633311893</v>
      </c>
      <c r="D6" s="31">
        <v>133.0208517293108</v>
      </c>
      <c r="E6" s="31">
        <v>142.04378122919118</v>
      </c>
      <c r="F6" s="31">
        <v>153.56431801388507</v>
      </c>
    </row>
    <row r="7" spans="1:6" x14ac:dyDescent="0.25">
      <c r="A7" s="30">
        <v>0.08251</v>
      </c>
      <c r="B7" s="31">
        <v>100.56191111787673</v>
      </c>
      <c r="C7" s="31">
        <v>104.2008114161439</v>
      </c>
      <c r="D7" s="32">
        <v>108.5292827081003</v>
      </c>
      <c r="E7" s="31">
        <v>113.74430775713073</v>
      </c>
      <c r="F7" s="31">
        <v>120.12579198011822</v>
      </c>
    </row>
    <row r="8" spans="1:6" x14ac:dyDescent="0.25">
      <c r="A8" s="30">
        <v>0.09251</v>
      </c>
      <c r="B8" s="31">
        <v>86.26555959700269</v>
      </c>
      <c r="C8" s="31">
        <v>88.58660301924837</v>
      </c>
      <c r="D8" s="31">
        <v>91.2972742776307</v>
      </c>
      <c r="E8" s="31">
        <v>94.49106909350714</v>
      </c>
      <c r="F8" s="31">
        <v>98.29399778442955</v>
      </c>
    </row>
    <row r="9" spans="1:6" x14ac:dyDescent="0.25">
      <c r="A9" s="30">
        <v>0.10251</v>
      </c>
      <c r="B9" s="31">
        <v>75.2560747300818</v>
      </c>
      <c r="C9" s="31">
        <v>76.76895068634691</v>
      </c>
      <c r="D9" s="31">
        <v>78.51481641046276</v>
      </c>
      <c r="E9" s="31">
        <v>80.54187003396655</v>
      </c>
      <c r="F9" s="31">
        <v>82.91258850087873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6512000000</v>
      </c>
      <c r="C5" s="18">
        <v>5571700000</v>
      </c>
      <c r="D5" s="18">
        <v>5278300000</v>
      </c>
      <c r="E5" s="18">
        <v>5007100000</v>
      </c>
      <c r="F5" s="6" t="s">
        <v>91</v>
      </c>
    </row>
    <row r="6" spans="1:6" x14ac:dyDescent="0.25">
      <c r="A6" t="s">
        <v>51</v>
      </c>
      <c r="B6" s="18">
        <v>2510500000</v>
      </c>
      <c r="C6" s="18">
        <v>2207700000</v>
      </c>
      <c r="D6" s="18">
        <v>2174100000</v>
      </c>
      <c r="E6" s="18">
        <v>2033100000</v>
      </c>
      <c r="F6" s="6" t="s">
        <v>92</v>
      </c>
    </row>
    <row r="7" spans="1:6" x14ac:dyDescent="0.25">
      <c r="A7" t="s">
        <v>93</v>
      </c>
      <c r="B7" s="18">
        <v>442600000</v>
      </c>
      <c r="C7" s="18">
        <v>209500000</v>
      </c>
      <c r="D7" s="18">
        <v>176500000</v>
      </c>
      <c r="E7" s="18">
        <v>176600000</v>
      </c>
      <c r="F7" s="6" t="s">
        <v>94</v>
      </c>
    </row>
    <row r="8" spans="1:6" x14ac:dyDescent="0.25">
      <c r="A8" t="s">
        <v>95</v>
      </c>
      <c r="B8" s="18">
        <v>234900000</v>
      </c>
      <c r="C8" s="18">
        <v>191800000</v>
      </c>
      <c r="D8" s="18">
        <v>161400000</v>
      </c>
      <c r="E8" s="18">
        <v>143000000</v>
      </c>
      <c r="F8" s="6" t="s">
        <v>96</v>
      </c>
    </row>
    <row r="9" spans="1:6" x14ac:dyDescent="0.25">
      <c r="A9" t="s">
        <v>97</v>
      </c>
      <c r="B9" s="18">
        <v>124100000</v>
      </c>
      <c r="C9" s="18">
        <v>330900000</v>
      </c>
      <c r="D9" s="18">
        <v>280400000</v>
      </c>
      <c r="E9" s="18">
        <v>312400000</v>
      </c>
      <c r="F9" s="6" t="s">
        <v>98</v>
      </c>
    </row>
    <row r="10" spans="1:6" x14ac:dyDescent="0.25">
      <c r="A10" t="s">
        <v>99</v>
      </c>
      <c r="B10" s="18">
        <v>4608300000</v>
      </c>
      <c r="C10" s="18">
        <v>5022300000</v>
      </c>
      <c r="D10" s="18">
        <v>866300000</v>
      </c>
      <c r="E10" s="18">
        <v>865700000</v>
      </c>
      <c r="F10" s="6" t="s">
        <v>100</v>
      </c>
    </row>
    <row r="11" spans="1:6" x14ac:dyDescent="0.25">
      <c r="A11" t="s">
        <v>101</v>
      </c>
      <c r="B11" s="18">
        <v>1124500000</v>
      </c>
      <c r="C11" s="18">
        <v>1663100000</v>
      </c>
      <c r="D11" s="18">
        <v>1502800000</v>
      </c>
      <c r="E11" s="18">
        <v>1595400000</v>
      </c>
      <c r="F11" s="6" t="s">
        <v>102</v>
      </c>
    </row>
    <row r="12" spans="1:6" x14ac:dyDescent="0.25">
      <c r="A12" t="s">
        <v>34</v>
      </c>
      <c r="B12" s="34">
        <v>360000000</v>
      </c>
      <c r="C12" s="34">
        <v>362000000</v>
      </c>
      <c r="D12" s="34">
        <v>362100000</v>
      </c>
      <c r="E12" s="34">
        <v>362300000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