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<sst xmlns="http://schemas.openxmlformats.org/spreadsheetml/2006/main" count="112" uniqueCount="100">
  <si>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PACCAR Inc (PCAR)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</si>
  <si>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</si>
  <si>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</si>
  <si>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</si>
  <si>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</si>
  <si>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</si>
  <si>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</si>
  <si>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</si>
  <si>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</si>
  <si>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</si>
  <si>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</si>
  <si>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</si>
  <si>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</si>
  <si>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</si>
  <si>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</si>
  <si>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</si>
  <si>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</si>
  <si>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</si>
  <si>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</si>
  <si>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</si>
  <si>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</si>
  <si>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</si>
  <si>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Assumed: risk-free + 2bp (interest expense not reported)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</si>
  <si>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</si>
  <si>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</si>
  <si>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</si>
  <si>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</si>
  <si>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</si>
  <si>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</si>
  <si>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</si>
  <si>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</si>
  <si>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</si>
  <si>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</si>
  <si>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</si>
  <si>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</si>
  <si>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</si>
  <si>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</si>
  <si>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</si>
  <si>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</si>
  <si>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</si>
  <si>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</si>
  <si>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</si>
  <si>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</si>
  <si>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</si>
  <si>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</si>
  <si>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</si>
  <si>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</si>
  <si>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</si>
  <si>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</si>
  <si>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</si>
  <si>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</si>
  <si>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</si>
  <si>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</si>
  <si>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</si>
  <si>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</si>
  <si>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</si>
  <si>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</si>
  <si>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</si>
  <si>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</si>
  <si>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</si>
  <si>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</si>
  <si>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</si>
  <si>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</si>
  <si>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</si>
  <si>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</si>
  <si>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</si>
  <si>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</si>
  <si>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</si>
  <si>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</si>
  <si>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</si>
  <si>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</si>
  <si>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</si>
  <si>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</si>
  <si>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</si>
  <si>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</si>
  <si>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</si>
  <si>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</si>
  <si>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</si>
  <si>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</si>
  <si>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</si>
  <si>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</si>
  <si>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</si>
  <si>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</si>
  <si>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</si>
  <si>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</si>
  <si>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</si>
  <si>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</si>
  <si>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</si>
  <si>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</si>
  <si>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</si>
  <si>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</si>
  <si>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</si>
  <si>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</si>
  <si>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</si>
  <si>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</si>
  <si>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</si>
  <si>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</si>
  <si>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</si>
  <si>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Capital expenditure runs at 4.6% of revenue against depreciation of 2.8%. A perpetuity has to be a steady state, so the terminal year uses maintenance capex at depreciation and then charges the reinvestment terminal growth requires (g/ROIC of NOPAT). The bridge is shown under Terminal Value.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</si>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</sst>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-0.004355093626742135</v>
      </c>
    </row>
    <row r="7" spans="1:2" x14ac:dyDescent="0.25">
      <c r="A7" t="s">
        <v>5</v>
      </c>
      <c r="B7" s="6">
        <v>0.13659374174562106</v>
      </c>
    </row>
    <row r="8" spans="1:2" x14ac:dyDescent="0.25">
      <c r="A8" t="s">
        <v>6</v>
      </c>
      <c r="B8" s="6">
        <v>0.21</v>
      </c>
    </row>
    <row r="9" spans="1:2" x14ac:dyDescent="0.25">
      <c r="A9" t="s">
        <v>7</v>
      </c>
      <c r="B9" s="6">
        <v>0.027511260215327037</v>
      </c>
    </row>
    <row r="10" spans="1:2" x14ac:dyDescent="0.25">
      <c r="A10" t="s">
        <v>8</v>
      </c>
      <c r="B10" s="6">
        <v>0.04619745469392271</v>
      </c>
    </row>
    <row r="11" spans="1:2" x14ac:dyDescent="0.25">
      <c r="A11" t="s">
        <v>9</v>
      </c>
      <c r="B11" s="6">
        <v>0.13772753401034682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17.737883634636194</v>
      </c>
    </row>
    <row r="14" spans="1:3" x14ac:dyDescent="0.25">
      <c r="A14" t="s">
        <v>12</v>
      </c>
      <c r="B14" s="6">
        <v>0.11683010512509887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0.98124</v>
      </c>
      <c r="C19" s="8" t="s">
        <v>19</v>
      </c>
    </row>
    <row r="20" spans="1:2" x14ac:dyDescent="0.25">
      <c r="A20" t="s">
        <v>20</v>
      </c>
      <c r="B20" s="10">
        <f>B17+B19*B18</f>
        <v>0.1039482</v>
      </c>
    </row>
    <row r="21" spans="1:3" x14ac:dyDescent="0.25">
      <c r="A21" t="s">
        <v>21</v>
      </c>
      <c r="B21" s="6">
        <v>0.06998</v>
      </c>
      <c r="C21" s="8" t="s">
        <v>22</v>
      </c>
    </row>
    <row r="22" spans="1:2" x14ac:dyDescent="0.25">
      <c r="A22" t="s">
        <v>23</v>
      </c>
      <c r="B22" s="11">
        <v>61089914880</v>
      </c>
    </row>
    <row r="23" spans="1:2" x14ac:dyDescent="0.25">
      <c r="A23" t="s">
        <v>24</v>
      </c>
      <c r="B23" s="11">
        <v>15636300000</v>
      </c>
    </row>
    <row r="24" spans="1:2" x14ac:dyDescent="0.25">
      <c r="A24" t="s">
        <v>25</v>
      </c>
      <c r="B24" s="10">
        <f>B22/(B22+B23)</f>
        <v>0.7962065504670703</v>
      </c>
    </row>
    <row r="25" spans="1:2" x14ac:dyDescent="0.25">
      <c r="A25" t="s">
        <v>26</v>
      </c>
      <c r="B25" s="10">
        <f>1-B24</f>
        <v>0.20379344953292966</v>
      </c>
    </row>
    <row r="26" spans="1:2" x14ac:dyDescent="0.25">
      <c r="A26" t="s">
        <v>27</v>
      </c>
      <c r="B26" s="12">
        <f>B24*B20+B25*B21*(1-B8)</f>
        <v>0.09403079557192952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28444800000</v>
      </c>
      <c r="C29" s="8" t="s">
        <v>30</v>
      </c>
    </row>
    <row r="30" spans="1:2" x14ac:dyDescent="0.25">
      <c r="A30" t="s">
        <v>31</v>
      </c>
      <c r="B30" s="11">
        <v>6120700000</v>
      </c>
    </row>
    <row r="31" spans="1:2" x14ac:dyDescent="0.25">
      <c r="A31" t="s">
        <v>32</v>
      </c>
      <c r="B31" s="13">
        <v>526800000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-0.004355093626742135</v>
      </c>
      <c r="C5" s="10">
        <f>Assumptions!B6</f>
        <v>-0.004355093626742135</v>
      </c>
      <c r="D5" s="10">
        <f>Assumptions!B6</f>
        <v>-0.004355093626742135</v>
      </c>
      <c r="E5" s="10">
        <f>Assumptions!B6</f>
        <v>-0.004355093626742135</v>
      </c>
      <c r="F5" s="10">
        <f>Assumptions!B6</f>
        <v>-0.004355093626742135</v>
      </c>
    </row>
    <row r="6" spans="1:6" x14ac:dyDescent="0.25">
      <c r="A6" t="s">
        <v>43</v>
      </c>
      <c r="B6" s="18">
        <f>Assumptions!B29*(1+B5)</f>
        <v>28320920232.806046</v>
      </c>
      <c r="C6" s="18">
        <f>B6*(1+C5)</f>
        <v>28197579973.59668</v>
      </c>
      <c r="D6" s="18">
        <f>C6*(1+D5)</f>
        <v>28074776872.76412</v>
      </c>
      <c r="E6" s="18">
        <f>D6*(1+E5)</f>
        <v>27952508590.933334</v>
      </c>
      <c r="F6" s="18">
        <f>E6*(1+F5)</f>
        <v>27830772798.917507</v>
      </c>
    </row>
    <row r="7" spans="1:6" x14ac:dyDescent="0.25">
      <c r="A7" t="s">
        <v>5</v>
      </c>
      <c r="B7" s="10">
        <f>Assumptions!B7</f>
        <v>0.13659374174562106</v>
      </c>
      <c r="C7" s="10">
        <f>Assumptions!B7</f>
        <v>0.13659374174562106</v>
      </c>
      <c r="D7" s="10">
        <f>Assumptions!B7</f>
        <v>0.13659374174562106</v>
      </c>
      <c r="E7" s="10">
        <f>Assumptions!B7</f>
        <v>0.13659374174562106</v>
      </c>
      <c r="F7" s="10">
        <f>Assumptions!B7</f>
        <v>0.13659374174562106</v>
      </c>
    </row>
    <row r="8" spans="1:6" x14ac:dyDescent="0.25">
      <c r="A8" t="s">
        <v>44</v>
      </c>
      <c r="B8" s="18">
        <f>B6*B7</f>
        <v>3868460464.278243</v>
      </c>
      <c r="C8" s="18">
        <f>C6*C7</f>
        <v>3851612956.7649612</v>
      </c>
      <c r="D8" s="18">
        <f>D6*D7</f>
        <v>3834838821.7242765</v>
      </c>
      <c r="E8" s="18">
        <f>E6*E7</f>
        <v>3818137739.6122017</v>
      </c>
      <c r="F8" s="18">
        <f>F6*F7</f>
        <v>3801509392.2763934</v>
      </c>
    </row>
    <row r="9" spans="1:6" x14ac:dyDescent="0.25">
      <c r="A9" t="s">
        <v>45</v>
      </c>
      <c r="B9" s="18">
        <f>B8*(1-Assumptions!B8)</f>
        <v>3056083766.7798123</v>
      </c>
      <c r="C9" s="18">
        <f>C8*(1-Assumptions!B8)</f>
        <v>3042774235.8443193</v>
      </c>
      <c r="D9" s="18">
        <f>D8*(1-Assumptions!B8)</f>
        <v>3029522669.1621785</v>
      </c>
      <c r="E9" s="18">
        <f>E8*(1-Assumptions!B8)</f>
        <v>3016328814.2936397</v>
      </c>
      <c r="F9" s="18">
        <f>F8*(1-Assumptions!B8)</f>
        <v>3003192419.8983507</v>
      </c>
    </row>
    <row r="10" spans="1:6" x14ac:dyDescent="0.25">
      <c r="A10" t="s">
        <v>46</v>
      </c>
      <c r="B10" s="18">
        <f>B6*Assumptions!B9</f>
        <v>779144206.0622475</v>
      </c>
      <c r="C10" s="18">
        <f>C6*Assumptions!B9</f>
        <v>775750960.0961127</v>
      </c>
      <c r="D10" s="18">
        <f>D6*Assumptions!B9</f>
        <v>772372492.0338591</v>
      </c>
      <c r="E10" s="18">
        <f>E6*Assumptions!B9</f>
        <v>769008737.5163314</v>
      </c>
      <c r="F10" s="18">
        <f>F6*Assumptions!B9</f>
        <v>765659632.464665</v>
      </c>
    </row>
    <row r="11" spans="1:6" x14ac:dyDescent="0.25">
      <c r="A11" t="s">
        <v>47</v>
      </c>
      <c r="B11" s="18">
        <f>-B6*Assumptions!B10</f>
        <v>-1308354429.3452563</v>
      </c>
      <c r="C11" s="18">
        <f>-C6*Assumptions!B10</f>
        <v>-1302656423.308495</v>
      </c>
      <c r="D11" s="18">
        <f>-D6*Assumptions!B10</f>
        <v>-1296983232.6215096</v>
      </c>
      <c r="E11" s="18">
        <f>-E6*Assumptions!B10</f>
        <v>-1291334749.211128</v>
      </c>
      <c r="F11" s="18">
        <f>-F6*Assumptions!B10</f>
        <v>-1285710865.474848</v>
      </c>
    </row>
    <row r="12" spans="1:6" x14ac:dyDescent="0.25">
      <c r="A12" t="s">
        <v>48</v>
      </c>
      <c r="B12" s="18">
        <f>-(B6-Assumptions!B29)*Assumptions!B11</f>
        <v>17061654.84939921</v>
      </c>
      <c r="C12" s="18">
        <f>-(C6-B6)*Assumptions!B11</f>
        <v>16987349.745102927</v>
      </c>
      <c r="D12" s="18">
        <f>-(D6-C6)*Assumptions!B11</f>
        <v>16913368.24649266</v>
      </c>
      <c r="E12" s="18">
        <f>-(E6-D6)*Assumptions!B11</f>
        <v>16839708.94423595</v>
      </c>
      <c r="F12" s="18">
        <f>-(F6-E6)*Assumptions!B11</f>
        <v>16766370.435136344</v>
      </c>
    </row>
    <row r="13" spans="1:6" x14ac:dyDescent="0.25">
      <c r="A13" s="19" t="s">
        <v>49</v>
      </c>
      <c r="B13" s="20">
        <f>B9+B10+B11+B12</f>
        <v>2543935198.346203</v>
      </c>
      <c r="C13" s="20">
        <f>C9+C10+C11+C12</f>
        <v>2532856122.37704</v>
      </c>
      <c r="D13" s="20">
        <f>D9+D10+D11+D12</f>
        <v>2521825296.821021</v>
      </c>
      <c r="E13" s="20">
        <f>E9+E10+E11+E12</f>
        <v>2510842511.5430784</v>
      </c>
      <c r="F13" s="20">
        <f>F9+F10+F11+F12</f>
        <v>2499907557.3233037</v>
      </c>
    </row>
    <row r="14" spans="1:6" x14ac:dyDescent="0.25">
      <c r="A14" t="s">
        <v>50</v>
      </c>
      <c r="B14" s="21">
        <f>1/(1+Assumptions!$B$26)^(1-0.5*Assumptions!$B$32)</f>
        <v>0.956060171931564</v>
      </c>
      <c r="C14" s="21">
        <f>1/(1+Assumptions!$B$26)^(2-0.5*Assumptions!$B$32)</f>
        <v>0.8738878062676122</v>
      </c>
      <c r="D14" s="21">
        <f>1/(1+Assumptions!$B$26)^(3-0.5*Assumptions!$B$32)</f>
        <v>0.7987780689580749</v>
      </c>
      <c r="E14" s="21">
        <f>1/(1+Assumptions!$B$26)^(4-0.5*Assumptions!$B$32)</f>
        <v>0.7301239345282738</v>
      </c>
      <c r="F14" s="21">
        <f>1/(1+Assumptions!$B$26)^(5-0.5*Assumptions!$B$32)</f>
        <v>0.6673705507042743</v>
      </c>
    </row>
    <row r="15" spans="1:6" x14ac:dyDescent="0.25">
      <c r="A15" s="19" t="s">
        <v>51</v>
      </c>
      <c r="B15" s="20">
        <f>B13*B14</f>
        <v>2432155123.113628</v>
      </c>
      <c r="C15" s="20">
        <f>C13*C14</f>
        <v>2213432080.375562</v>
      </c>
      <c r="D15" s="20">
        <f>D13*D14</f>
        <v>2014378740.8443193</v>
      </c>
      <c r="E15" s="20">
        <f>E13*E14</f>
        <v>1833226213.5086854</v>
      </c>
      <c r="F15" s="20">
        <f>F13*F14</f>
        <v>1668364683.2406304</v>
      </c>
    </row>
    <row r="17" spans="1:2" x14ac:dyDescent="0.25">
      <c r="A17" s="22" t="s">
        <v>52</v>
      </c>
      <c r="B17" s="23">
        <f>SUM(B15:F15)</f>
        <v>10161556841.082825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2499907557.3233037</v>
      </c>
    </row>
    <row r="5" spans="1:2" x14ac:dyDescent="0.25">
      <c r="A5" t="s">
        <v>56</v>
      </c>
      <c r="B5" s="18">
        <f>IF(Assumptions!$B$33=0,B4,B4-Forecast!F11-Forecast!F10-Forecast!F12)</f>
        <v>3003192419.8983507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0.21398594115130345</v>
      </c>
    </row>
    <row r="7" spans="1:2" x14ac:dyDescent="0.25">
      <c r="A7" t="s">
        <v>58</v>
      </c>
      <c r="B7" s="18">
        <f>-MAX(Forecast!F9,0)*B6</f>
        <v>-642640956.4304091</v>
      </c>
    </row>
    <row r="8" spans="1:2" x14ac:dyDescent="0.25">
      <c r="A8" t="s">
        <v>59</v>
      </c>
      <c r="B8" s="18">
        <f>IF(OR(Assumptions!$B$33=0,Assumptions!B12&lt;=0),B5,MAX(B5+B7,0))</f>
        <v>2360551463.4679418</v>
      </c>
    </row>
    <row r="9" spans="1:2" x14ac:dyDescent="0.25">
      <c r="A9" t="s">
        <v>60</v>
      </c>
      <c r="B9" s="18">
        <f>B8*(1+Assumptions!B12)/(Assumptions!B26-Assumptions!B12)</f>
        <v>35050519554.471504</v>
      </c>
    </row>
    <row r="10" spans="1:2" x14ac:dyDescent="0.25">
      <c r="A10" t="s">
        <v>61</v>
      </c>
      <c r="B10" s="18">
        <f>B9/(1+Assumptions!B26)^(5-0.5*Assumptions!B32)</f>
        <v>23391684537.53858</v>
      </c>
    </row>
    <row r="11" spans="1:2" x14ac:dyDescent="0.25">
      <c r="A11" t="s">
        <v>62</v>
      </c>
      <c r="B11" s="18">
        <f>Forecast!B17+B10</f>
        <v>33553241378.621407</v>
      </c>
    </row>
    <row r="12" spans="1:2" x14ac:dyDescent="0.25">
      <c r="A12" t="s">
        <v>63</v>
      </c>
      <c r="B12" s="18">
        <f>-Assumptions!B30</f>
        <v>-6120700000</v>
      </c>
    </row>
    <row r="13" spans="1:2" x14ac:dyDescent="0.25">
      <c r="A13" t="s">
        <v>64</v>
      </c>
      <c r="B13" s="18">
        <f>B11+B12</f>
        <v>27432541378.621407</v>
      </c>
    </row>
    <row r="14" spans="1:2" x14ac:dyDescent="0.25">
      <c r="A14" s="19" t="s">
        <v>65</v>
      </c>
      <c r="B14" s="24">
        <f>B13/Assumptions!B31</f>
        <v>52.07392061241725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4567169024.741058</v>
      </c>
    </row>
    <row r="18" spans="1:2" x14ac:dyDescent="0.25">
      <c r="A18" t="s">
        <v>60</v>
      </c>
      <c r="B18" s="18">
        <f>B17*Assumptions!B13</f>
        <v>81011912700.57176</v>
      </c>
    </row>
    <row r="19" spans="1:2" x14ac:dyDescent="0.25">
      <c r="A19" t="s">
        <v>61</v>
      </c>
      <c r="B19" s="18">
        <f>B18/(1+Assumptions!B26)^(5-0.5*Assumptions!B32)</f>
        <v>54064964792.58717</v>
      </c>
    </row>
    <row r="20" spans="1:2" x14ac:dyDescent="0.25">
      <c r="A20" t="s">
        <v>62</v>
      </c>
      <c r="B20" s="18">
        <f>Forecast!B17+B19</f>
        <v>64226521633.67</v>
      </c>
    </row>
    <row r="21" spans="1:2" x14ac:dyDescent="0.25">
      <c r="A21" t="s">
        <v>63</v>
      </c>
      <c r="B21" s="18">
        <f>-Assumptions!B30</f>
        <v>-6120700000</v>
      </c>
    </row>
    <row r="22" spans="1:2" x14ac:dyDescent="0.25">
      <c r="A22" t="s">
        <v>64</v>
      </c>
      <c r="B22" s="18">
        <f>B20+B21</f>
        <v>58105821633.67</v>
      </c>
    </row>
    <row r="23" spans="1:2" x14ac:dyDescent="0.25">
      <c r="A23" s="19" t="s">
        <v>65</v>
      </c>
      <c r="B23" s="25">
        <f>B22/Assumptions!B31</f>
        <v>110.2995854853265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116.06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52.07392061241725</v>
      </c>
    </row>
    <row r="29" spans="1:2" x14ac:dyDescent="0.25">
      <c r="A29" s="19" t="s">
        <v>73</v>
      </c>
      <c r="B29" s="12">
        <f>B28/B26-1</f>
        <v>-0.5513189676682988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0.074031</v>
      </c>
      <c r="B5" s="31">
        <v>70.47201570159586</v>
      </c>
      <c r="C5" s="31">
        <v>73.19873099818422</v>
      </c>
      <c r="D5" s="31">
        <v>76.44548367660246</v>
      </c>
      <c r="E5" s="31">
        <v>80.38943439019593</v>
      </c>
      <c r="F5" s="31">
        <v>85.29852325137857</v>
      </c>
    </row>
    <row r="6" spans="1:6" x14ac:dyDescent="0.25">
      <c r="A6" s="30">
        <v>0.084031</v>
      </c>
      <c r="B6" s="31">
        <v>58.90127007876724</v>
      </c>
      <c r="C6" s="31">
        <v>60.43596841268734</v>
      </c>
      <c r="D6" s="31">
        <v>62.201902017255044</v>
      </c>
      <c r="E6" s="31">
        <v>64.26326605931375</v>
      </c>
      <c r="F6" s="31">
        <v>66.71044124825882</v>
      </c>
    </row>
    <row r="7" spans="1:6" x14ac:dyDescent="0.25">
      <c r="A7" s="30">
        <v>0.094031</v>
      </c>
      <c r="B7" s="31">
        <v>50.259230588026284</v>
      </c>
      <c r="C7" s="31">
        <v>51.116208613313475</v>
      </c>
      <c r="D7" s="32">
        <v>52.07374344555565</v>
      </c>
      <c r="E7" s="31">
        <v>53.15539167615895</v>
      </c>
      <c r="F7" s="31">
        <v>54.39269098829686</v>
      </c>
    </row>
    <row r="8" spans="1:6" x14ac:dyDescent="0.25">
      <c r="A8" s="30">
        <v>0.104031</v>
      </c>
      <c r="B8" s="31">
        <v>43.55892483898822</v>
      </c>
      <c r="C8" s="31">
        <v>44.01041735120824</v>
      </c>
      <c r="D8" s="31">
        <v>44.49926235161406</v>
      </c>
      <c r="E8" s="31">
        <v>45.03302812001795</v>
      </c>
      <c r="F8" s="31">
        <v>45.621475655391016</v>
      </c>
    </row>
    <row r="9" spans="1:6" x14ac:dyDescent="0.25">
      <c r="A9" s="30">
        <v>0.114031</v>
      </c>
      <c r="B9" s="31">
        <v>38.21204070008375</v>
      </c>
      <c r="C9" s="31">
        <v>38.41237410132768</v>
      </c>
      <c r="D9" s="31">
        <v>38.618352294033244</v>
      </c>
      <c r="E9" s="31">
        <v>38.83098290481353</v>
      </c>
      <c r="F9" s="31">
        <v>39.05152855556527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28444800000</v>
      </c>
      <c r="C5" s="18">
        <v>33663800000</v>
      </c>
      <c r="D5" s="18">
        <v>35127400000</v>
      </c>
      <c r="E5" s="18">
        <v>28819700000</v>
      </c>
      <c r="F5" s="8" t="s">
        <v>84</v>
      </c>
    </row>
    <row r="6" spans="1:6" x14ac:dyDescent="0.25">
      <c r="A6" t="s">
        <v>44</v>
      </c>
      <c r="B6" s="18">
        <v>2961700000</v>
      </c>
      <c r="C6" s="18">
        <v>4892400000</v>
      </c>
      <c r="D6" s="18">
        <v>5946400000</v>
      </c>
      <c r="E6" s="18">
        <v>3678600000</v>
      </c>
      <c r="F6" s="8" t="s">
        <v>85</v>
      </c>
    </row>
    <row r="7" spans="1:6" x14ac:dyDescent="0.25">
      <c r="A7" t="s">
        <v>86</v>
      </c>
      <c r="B7" s="18">
        <v>827400000</v>
      </c>
      <c r="C7" s="18">
        <v>916900000</v>
      </c>
      <c r="D7" s="18">
        <v>923900000</v>
      </c>
      <c r="E7" s="18">
        <v>790200000</v>
      </c>
      <c r="F7" s="8" t="s">
        <v>87</v>
      </c>
    </row>
    <row r="8" spans="1:6" x14ac:dyDescent="0.25">
      <c r="A8" t="s">
        <v>88</v>
      </c>
      <c r="B8" s="18">
        <v>1386600000</v>
      </c>
      <c r="C8" s="18">
        <v>1745600000</v>
      </c>
      <c r="D8" s="18">
        <v>1262500000</v>
      </c>
      <c r="E8" s="18">
        <v>1390500000</v>
      </c>
      <c r="F8" s="8" t="s">
        <v>89</v>
      </c>
    </row>
    <row r="9" spans="1:6" x14ac:dyDescent="0.25">
      <c r="A9" t="s">
        <v>90</v>
      </c>
      <c r="B9" s="18">
        <v>-718800000</v>
      </c>
      <c r="C9" s="18">
        <v>419800000</v>
      </c>
      <c r="D9" s="18">
        <v>1081500000</v>
      </c>
      <c r="E9" s="18">
        <v>547100000</v>
      </c>
      <c r="F9" s="8" t="s">
        <v>91</v>
      </c>
    </row>
    <row r="10" spans="1:6" x14ac:dyDescent="0.25">
      <c r="A10" t="s">
        <v>92</v>
      </c>
      <c r="B10" s="18">
        <v>15636300000</v>
      </c>
      <c r="C10" s="18">
        <v>15895000000</v>
      </c>
      <c r="D10" s="18">
        <v>14234500000</v>
      </c>
      <c r="E10" s="18">
        <v>11471600000</v>
      </c>
      <c r="F10" s="8" t="s">
        <v>93</v>
      </c>
    </row>
    <row r="11" spans="1:6" x14ac:dyDescent="0.25">
      <c r="A11" t="s">
        <v>94</v>
      </c>
      <c r="B11" s="18">
        <v>9515600000</v>
      </c>
      <c r="C11" s="18">
        <v>9839600000</v>
      </c>
      <c r="D11" s="18">
        <v>9004300000</v>
      </c>
      <c r="E11" s="18">
        <v>6305100000</v>
      </c>
      <c r="F11" s="8" t="s">
        <v>95</v>
      </c>
    </row>
    <row r="12" spans="1:6" x14ac:dyDescent="0.25">
      <c r="A12" t="s">
        <v>32</v>
      </c>
      <c r="B12" s="34">
        <v>526800000</v>
      </c>
      <c r="C12" s="34">
        <v>526600000</v>
      </c>
      <c r="D12" s="34">
        <v>525000000</v>
      </c>
      <c r="E12" s="34">
        <v>523350000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2026-09-19T01:03:59Z</dcterms:modified>
</cp:coreProperties>
</file>