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<sst xmlns="http://schemas.openxmlformats.org/spreadsheetml/2006/main" count="120" uniqueCount="107">
  <si>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PACCAR Inc (PCAR)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</si>
  <si>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</si>
  <si>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</si>
  <si>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</si>
  <si>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</si>
  <si>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</si>
  <si>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</si>
  <si>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</si>
  <si>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</si>
  <si>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</si>
  <si>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</si>
  <si>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</si>
  <si>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</si>
  <si>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</si>
  <si>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</si>
  <si>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</si>
  <si>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</si>
  <si>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</si>
  <si>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</si>
  <si>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</si>
  <si>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</si>
  <si>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</si>
  <si>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</si>
  <si>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</si>
  <si>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</si>
  <si>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</si>
  <si>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</si>
  <si>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</si>
  <si>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</si>
  <si>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</si>
  <si>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</si>
  <si>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</si>
  <si>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</si>
  <si>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</si>
  <si>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</si>
  <si>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</si>
  <si>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</si>
  <si>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</si>
  <si>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</si>
  <si>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</si>
  <si>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</si>
  <si>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</si>
  <si>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</si>
  <si>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</si>
  <si>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</si>
  <si>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</si>
  <si>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</si>
  <si>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</si>
  <si>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</si>
  <si>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</si>
  <si>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</si>
  <si>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</si>
  <si>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</si>
  <si>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</si>
  <si>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</si>
  <si>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</si>
  <si>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</si>
  <si>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</si>
  <si>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</si>
  <si>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</si>
  <si>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</si>
  <si>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</si>
  <si>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</si>
  <si>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</si>
  <si>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</si>
  <si>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</si>
  <si>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</si>
  <si>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</si>
  <si>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</si>
  <si>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</si>
  <si>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</si>
  <si>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</si>
  <si>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</si>
  <si>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</si>
  <si>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</si>
  <si>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</si>
  <si>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</si>
  <si>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</si>
  <si>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</si>
  <si>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</si>
  <si>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</si>
  <si>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</si>
  <si>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</si>
  <si>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</si>
  <si>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</si>
  <si>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</si>
  <si>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</si>
  <si>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</si>
  <si>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</si>
  <si>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</si>
  <si>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</si>
  <si>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</si>
  <si>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</si>
  <si>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</si>
  <si>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</si>
  <si>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</si>
  <si>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</si>
  <si>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</si>
  <si>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</si>
  <si>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</si>
  <si>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</si>
  <si>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</si>
  <si>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</si>
  <si>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</si>
  <si>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</si>
  <si>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4.6% of revenue against depreciation of 2.8%.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</si>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</sst>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0.006325286871414093</v>
      </c>
    </row>
    <row r="7" spans="1:2" x14ac:dyDescent="0.25">
      <c r="A7" t="s">
        <v>4</v>
      </c>
      <c r="B7" s="5">
        <v>0.13659374174562106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0.027511260215327037</v>
      </c>
    </row>
    <row r="10" spans="1:3" x14ac:dyDescent="0.25">
      <c r="A10" t="s">
        <v>7</v>
      </c>
      <c r="B10" s="5">
        <v>0.04619745469392271</v>
      </c>
      <c r="C10" s="6" t="s">
        <v>8</v>
      </c>
    </row>
    <row r="11" spans="1:2" x14ac:dyDescent="0.25">
      <c r="A11" t="s">
        <v>9</v>
      </c>
      <c r="B11" s="5">
        <v>0.5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15.776005464094377</v>
      </c>
    </row>
    <row r="14" spans="1:3" x14ac:dyDescent="0.25">
      <c r="A14" t="s">
        <v>12</v>
      </c>
      <c r="B14" s="5">
        <v>0.11683010512509887</v>
      </c>
      <c r="C14" s="6" t="s">
        <v>13</v>
      </c>
    </row>
    <row r="15" spans="1:3" x14ac:dyDescent="0.25">
      <c r="A15" t="s">
        <v>14</v>
      </c>
      <c r="B15" s="5">
        <v>0.027511260215327037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0.99196</v>
      </c>
      <c r="C19" s="6" t="s">
        <v>21</v>
      </c>
    </row>
    <row r="20" spans="1:2" x14ac:dyDescent="0.25">
      <c r="A20" t="s">
        <v>22</v>
      </c>
      <c r="B20" s="9">
        <f>B17+B19*B18</f>
        <v>0.090899908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53656162304</v>
      </c>
    </row>
    <row r="23" spans="1:2" x14ac:dyDescent="0.25">
      <c r="A23" t="s">
        <v>26</v>
      </c>
      <c r="B23" s="10">
        <v>15636300000</v>
      </c>
    </row>
    <row r="24" spans="1:2" x14ac:dyDescent="0.25">
      <c r="A24" t="s">
        <v>27</v>
      </c>
      <c r="B24" s="9">
        <f>B22/(B22+B23)</f>
        <v>0.7743434209135129</v>
      </c>
    </row>
    <row r="25" spans="1:2" x14ac:dyDescent="0.25">
      <c r="A25" t="s">
        <v>28</v>
      </c>
      <c r="B25" s="9">
        <f>1-B24</f>
        <v>0.22565657908648706</v>
      </c>
    </row>
    <row r="26" spans="1:2" x14ac:dyDescent="0.25">
      <c r="A26" t="s">
        <v>29</v>
      </c>
      <c r="B26" s="11">
        <f>B24*B20+B25*B21*(1-B8)</f>
        <v>0.08267758972559931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28444800000</v>
      </c>
      <c r="C29" s="6" t="s">
        <v>32</v>
      </c>
    </row>
    <row r="30" spans="1:2" x14ac:dyDescent="0.25">
      <c r="A30" t="s">
        <v>33</v>
      </c>
      <c r="B30" s="10">
        <v>6120700000</v>
      </c>
    </row>
    <row r="31" spans="1:2" x14ac:dyDescent="0.25">
      <c r="A31" t="s">
        <v>34</v>
      </c>
      <c r="B31" s="12">
        <v>526800000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0.006325286871414093</v>
      </c>
      <c r="C5" s="5">
        <v>0.08497280046202516</v>
      </c>
      <c r="D5" s="5">
        <v>0.07747620040427201</v>
      </c>
      <c r="E5" s="5">
        <v>0.06997960034651887</v>
      </c>
      <c r="F5" s="5">
        <v>0.062483000288765723</v>
      </c>
      <c r="G5" s="5">
        <v>0.054986400231012575</v>
      </c>
      <c r="H5" s="5">
        <v>0.04748980017325943</v>
      </c>
      <c r="I5" s="5">
        <v>0.03999320011550629</v>
      </c>
      <c r="J5" s="5">
        <v>0.03249660005775314</v>
      </c>
      <c r="K5" s="5">
        <v>0.025</v>
      </c>
    </row>
    <row r="6" spans="1:11" x14ac:dyDescent="0.25">
      <c r="A6" t="s">
        <v>50</v>
      </c>
      <c r="B6" s="18">
        <f>Assumptions!B29*(1+B5)</f>
        <v>28624721520</v>
      </c>
      <c r="C6" s="18">
        <f>B6*(1+C5)</f>
        <v>31057044269.999996</v>
      </c>
      <c r="D6" s="18">
        <f>C6*(1+D5)</f>
        <v>33463226055.826862</v>
      </c>
      <c r="E6" s="18">
        <f>D6*(1+E5)</f>
        <v>35804969241.518845</v>
      </c>
      <c r="F6" s="18">
        <f>E6*(1+F5)</f>
        <v>38042171144.975914</v>
      </c>
      <c r="G6" s="18">
        <f>F6*(1+G5)</f>
        <v>40133973193.210236</v>
      </c>
      <c r="H6" s="18">
        <f>G6*(1+H5)</f>
        <v>42039927560.314735</v>
      </c>
      <c r="I6" s="18">
        <f>H6*(1+I5)</f>
        <v>43721238796.07579</v>
      </c>
      <c r="J6" s="18">
        <f>I6*(1+J5)</f>
        <v>45142030407.26138</v>
      </c>
      <c r="K6" s="18">
        <f>J6*(1+K5)</f>
        <v>46270581167.44292</v>
      </c>
    </row>
    <row r="7" spans="1:11" x14ac:dyDescent="0.25">
      <c r="A7" t="s">
        <v>4</v>
      </c>
      <c r="B7" s="9">
        <f>Assumptions!B7</f>
        <v>0.13659374174562106</v>
      </c>
      <c r="C7" s="9">
        <f>Assumptions!B7</f>
        <v>0.13659374174562106</v>
      </c>
      <c r="D7" s="9">
        <f>Assumptions!B7</f>
        <v>0.13659374174562106</v>
      </c>
      <c r="E7" s="9">
        <f>Assumptions!B7</f>
        <v>0.13659374174562106</v>
      </c>
      <c r="F7" s="9">
        <f>Assumptions!B7</f>
        <v>0.13659374174562106</v>
      </c>
      <c r="G7" s="9">
        <f>Assumptions!B7</f>
        <v>0.13659374174562106</v>
      </c>
      <c r="H7" s="9">
        <f>Assumptions!B7</f>
        <v>0.13659374174562106</v>
      </c>
      <c r="I7" s="9">
        <f>Assumptions!B7</f>
        <v>0.13659374174562106</v>
      </c>
      <c r="J7" s="9">
        <f>Assumptions!B7</f>
        <v>0.13659374174562106</v>
      </c>
      <c r="K7" s="9">
        <f>Assumptions!B7</f>
        <v>0.13659374174562106</v>
      </c>
    </row>
    <row r="8" spans="1:11" x14ac:dyDescent="0.25">
      <c r="A8" t="s">
        <v>51</v>
      </c>
      <c r="B8" s="18">
        <f>B6*B7</f>
        <v>3909957818.843201</v>
      </c>
      <c r="C8" s="18">
        <f>C6*C7</f>
        <v>4242197884.3986998</v>
      </c>
      <c r="D8" s="18">
        <f>D6*D7</f>
        <v>4570867257.844952</v>
      </c>
      <c r="E8" s="18">
        <f>E6*E7</f>
        <v>4890734721.785931</v>
      </c>
      <c r="F8" s="18">
        <f>F6*F7</f>
        <v>5196322500.819557</v>
      </c>
      <c r="G8" s="18">
        <f>G6*G7</f>
        <v>5482049569.579038</v>
      </c>
      <c r="H8" s="18">
        <f>H6*H7</f>
        <v>5742391008.178248</v>
      </c>
      <c r="I8" s="18">
        <f>I6*I7</f>
        <v>5972047600.909804</v>
      </c>
      <c r="J8" s="18">
        <f>J6*J7</f>
        <v>6166118843.322434</v>
      </c>
      <c r="K8" s="18">
        <f>K6*K7</f>
        <v>6320271814.405495</v>
      </c>
    </row>
    <row r="9" spans="1:11" x14ac:dyDescent="0.25">
      <c r="A9" t="s">
        <v>52</v>
      </c>
      <c r="B9" s="18">
        <f>B8*(1-Assumptions!B8)</f>
        <v>3088866676.886129</v>
      </c>
      <c r="C9" s="18">
        <f>C8*(1-Assumptions!B8)</f>
        <v>3351336328.674973</v>
      </c>
      <c r="D9" s="18">
        <f>D8*(1-Assumptions!B8)</f>
        <v>3610985133.697512</v>
      </c>
      <c r="E9" s="18">
        <f>E8*(1-Assumptions!B8)</f>
        <v>3863680430.2108855</v>
      </c>
      <c r="F9" s="18">
        <f>F8*(1-Assumptions!B8)</f>
        <v>4105094775.6474504</v>
      </c>
      <c r="G9" s="18">
        <f>G8*(1-Assumptions!B8)</f>
        <v>4330819159.96744</v>
      </c>
      <c r="H9" s="18">
        <f>H8*(1-Assumptions!B8)</f>
        <v>4536488896.460816</v>
      </c>
      <c r="I9" s="18">
        <f>I8*(1-Assumptions!B8)</f>
        <v>4717917604.718745</v>
      </c>
      <c r="J9" s="18">
        <f>J8*(1-Assumptions!B8)</f>
        <v>4871233886.224724</v>
      </c>
      <c r="K9" s="18">
        <f>K8*(1-Assumptions!B8)</f>
        <v>4993014733.380341</v>
      </c>
    </row>
    <row r="10" spans="1:11" x14ac:dyDescent="0.25">
      <c r="A10" t="s">
        <v>53</v>
      </c>
      <c r="B10" s="18">
        <f>B6*Assumptions!B9</f>
        <v>787502162.3279916</v>
      </c>
      <c r="C10" s="18">
        <f>C6*Assumptions!B9</f>
        <v>854418426.4309014</v>
      </c>
      <c r="D10" s="18">
        <f>D6*Assumptions!B9</f>
        <v>920615519.6661646</v>
      </c>
      <c r="E10" s="18">
        <f>E6*Assumptions!B9</f>
        <v>985039825.8052057</v>
      </c>
      <c r="F10" s="18">
        <f>F6*Assumptions!B9</f>
        <v>1046588069.5254381</v>
      </c>
      <c r="G10" s="18">
        <f>G6*Assumptions!B9</f>
        <v>1104136179.9933665</v>
      </c>
      <c r="H10" s="18">
        <f>H6*Assumptions!B9</f>
        <v>1156571386.5453174</v>
      </c>
      <c r="I10" s="18">
        <f>I6*Assumptions!B9</f>
        <v>1202826377.455293</v>
      </c>
      <c r="J10" s="18">
        <f>J6*Assumptions!B9</f>
        <v>1241914145.1823735</v>
      </c>
      <c r="K10" s="18">
        <f>K6*Assumptions!B9</f>
        <v>1272961998.8119328</v>
      </c>
    </row>
    <row r="11" spans="1:11" x14ac:dyDescent="0.25">
      <c r="A11" t="s">
        <v>54</v>
      </c>
      <c r="B11" s="18">
        <f>-B6*B19</f>
        <v>-1322389275.5463543</v>
      </c>
      <c r="C11" s="18">
        <f>-C6*C19</f>
        <v>-1449956494.3956425</v>
      </c>
      <c r="D11" s="18">
        <f>-D6*D19</f>
        <v>-1578671359.0392747</v>
      </c>
      <c r="E11" s="18">
        <f>-E6*E19</f>
        <v>-1706670002.558827</v>
      </c>
      <c r="F11" s="18">
        <f>-F6*F19</f>
        <v>-1831926660.4525576</v>
      </c>
      <c r="G11" s="18">
        <f>-G6*G19</f>
        <v>-1952300289.177471</v>
      </c>
      <c r="H11" s="18">
        <f>-H6*H19</f>
        <v>-2065590037.9857597</v>
      </c>
      <c r="I11" s="18">
        <f>-I6*I19</f>
        <v>-2169597867.946126</v>
      </c>
      <c r="J11" s="18">
        <f>-J6*J19</f>
        <v>-2262196067.520609</v>
      </c>
      <c r="K11" s="18">
        <f>-K6*K19</f>
        <v>-2341396955.7166495</v>
      </c>
    </row>
    <row r="12" spans="1:11" x14ac:dyDescent="0.25">
      <c r="A12" t="s">
        <v>55</v>
      </c>
      <c r="B12" s="18">
        <f>-(B6-Assumptions!B29)*Assumptions!B11</f>
        <v>-89960760</v>
      </c>
      <c r="C12" s="18">
        <f>-(C6-B6)*Assumptions!B11</f>
        <v>-1216161374.999998</v>
      </c>
      <c r="D12" s="18">
        <f>-(D6-C6)*Assumptions!B11</f>
        <v>-1203090892.913433</v>
      </c>
      <c r="E12" s="18">
        <f>-(E6-D6)*Assumptions!B11</f>
        <v>-1170871592.8459911</v>
      </c>
      <c r="F12" s="18">
        <f>-(F6-E6)*Assumptions!B11</f>
        <v>-1118600951.7285347</v>
      </c>
      <c r="G12" s="18">
        <f>-(G6-F6)*Assumptions!B11</f>
        <v>-1045901024.1171608</v>
      </c>
      <c r="H12" s="18">
        <f>-(H6-G6)*Assumptions!B11</f>
        <v>-952977183.5522499</v>
      </c>
      <c r="I12" s="18">
        <f>-(I6-H6)*Assumptions!B11</f>
        <v>-840655617.8805275</v>
      </c>
      <c r="J12" s="18">
        <f>-(J6-I6)*Assumptions!B11</f>
        <v>-710395805.5927963</v>
      </c>
      <c r="K12" s="18">
        <f>-(K6-J6)*Assumptions!B11</f>
        <v>-564275380.0907669</v>
      </c>
    </row>
    <row r="13" spans="1:11" x14ac:dyDescent="0.25">
      <c r="A13" s="19" t="s">
        <v>56</v>
      </c>
      <c r="B13" s="20">
        <f>B9+B10+B11+B12</f>
        <v>2464018803.667766</v>
      </c>
      <c r="C13" s="20">
        <f>C9+C10+C11+C12</f>
        <v>1539636885.7102337</v>
      </c>
      <c r="D13" s="20">
        <f>D9+D10+D11+D12</f>
        <v>1749838401.4109693</v>
      </c>
      <c r="E13" s="20">
        <f>E9+E10+E11+E12</f>
        <v>1971178660.6112733</v>
      </c>
      <c r="F13" s="20">
        <f>F9+F10+F11+F12</f>
        <v>2201155232.9917965</v>
      </c>
      <c r="G13" s="20">
        <f>G9+G10+G11+G12</f>
        <v>2436754026.666174</v>
      </c>
      <c r="H13" s="20">
        <f>H9+H10+H11+H12</f>
        <v>2674493061.4681244</v>
      </c>
      <c r="I13" s="20">
        <f>I9+I10+I11+I12</f>
        <v>2910490496.3473845</v>
      </c>
      <c r="J13" s="20">
        <f>J9+J10+J11+J12</f>
        <v>3140556158.2936916</v>
      </c>
      <c r="K13" s="20">
        <f>K9+K10+K11+K12</f>
        <v>3360304396.3848567</v>
      </c>
    </row>
    <row r="14" spans="1:11" x14ac:dyDescent="0.25">
      <c r="A14" t="s">
        <v>57</v>
      </c>
      <c r="B14" s="21">
        <f>1/(1+Assumptions!$B$26)^(1-0.5*Assumptions!$B$32)</f>
        <v>0.9610598324785105</v>
      </c>
      <c r="C14" s="21">
        <f>1/(1+Assumptions!$B$26)^(2-0.5*Assumptions!$B$32)</f>
        <v>0.8876694609722988</v>
      </c>
      <c r="D14" s="21">
        <f>1/(1+Assumptions!$B$26)^(3-0.5*Assumptions!$B$32)</f>
        <v>0.819883471678097</v>
      </c>
      <c r="E14" s="21">
        <f>1/(1+Assumptions!$B$26)^(4-0.5*Assumptions!$B$32)</f>
        <v>0.7572738915616546</v>
      </c>
      <c r="F14" s="21">
        <f>1/(1+Assumptions!$B$26)^(5-0.5*Assumptions!$B$32)</f>
        <v>0.6994454293208219</v>
      </c>
      <c r="G14" s="21">
        <f>1/(1+Assumptions!$B$26)^(6-0.5*Assumptions!$B$32)</f>
        <v>0.6460329796778133</v>
      </c>
      <c r="H14" s="21">
        <f>1/(1+Assumptions!$B$26)^(7-0.5*Assumptions!$B$32)</f>
        <v>0.5966993182536899</v>
      </c>
      <c r="I14" s="21">
        <f>1/(1+Assumptions!$B$26)^(8-0.5*Assumptions!$B$32)</f>
        <v>0.5511329724714457</v>
      </c>
      <c r="J14" s="21">
        <f>1/(1+Assumptions!$B$26)^(9-0.5*Assumptions!$B$32)</f>
        <v>0.5090462550454454</v>
      </c>
      <c r="K14" s="21">
        <f>1/(1+Assumptions!$B$26)^(10-0.5*Assumptions!$B$32)</f>
        <v>0.4701734476414732</v>
      </c>
    </row>
    <row r="15" spans="1:11" x14ac:dyDescent="0.25">
      <c r="A15" s="19" t="s">
        <v>58</v>
      </c>
      <c r="B15" s="20">
        <f>B13*B14</f>
        <v>2368069498.676843</v>
      </c>
      <c r="C15" s="20">
        <f>C13*C14</f>
        <v>1366688644.431472</v>
      </c>
      <c r="D15" s="20">
        <f>D13*D14</f>
        <v>1434663583.424477</v>
      </c>
      <c r="E15" s="20">
        <f>E13*E14</f>
        <v>1492722135.284389</v>
      </c>
      <c r="F15" s="20">
        <f>F13*F14</f>
        <v>1539587966.9417207</v>
      </c>
      <c r="G15" s="20">
        <f>G13*G14</f>
        <v>1574223464.589058</v>
      </c>
      <c r="H15" s="20">
        <f>H13*H14</f>
        <v>1595868186.4522538</v>
      </c>
      <c r="I15" s="20">
        <f>I13*I14</f>
        <v>1604067278.6018271</v>
      </c>
      <c r="J15" s="20">
        <f>J13*J14</f>
        <v>1598688351.139315</v>
      </c>
      <c r="K15" s="20">
        <f>K13*K14</f>
        <v>1579925903.1730676</v>
      </c>
    </row>
    <row r="17" spans="1:2" x14ac:dyDescent="0.25">
      <c r="A17" s="22" t="s">
        <v>59</v>
      </c>
      <c r="B17" s="23">
        <f>SUM(B15:K15)</f>
        <v>16154505012.714424</v>
      </c>
    </row>
    <row r="19" spans="1:11" x14ac:dyDescent="0.25">
      <c r="A19" t="s">
        <v>7</v>
      </c>
      <c r="B19" s="9">
        <f>Assumptions!$B$10+($B$20-Assumptions!$B$10)*0/9</f>
        <v>0.04619745469392271</v>
      </c>
      <c r="C19" s="9">
        <f>Assumptions!$B$10+($B$20-Assumptions!$B$10)*1/9</f>
        <v>0.04668687985212582</v>
      </c>
      <c r="D19" s="9">
        <f>Assumptions!$B$10+($B$20-Assumptions!$B$10)*2/9</f>
        <v>0.04717630501032894</v>
      </c>
      <c r="E19" s="9">
        <f>Assumptions!$B$10+($B$20-Assumptions!$B$10)*3/9</f>
        <v>0.04766573016853205</v>
      </c>
      <c r="F19" s="9">
        <f>Assumptions!$B$10+($B$20-Assumptions!$B$10)*4/9</f>
        <v>0.048155155326735165</v>
      </c>
      <c r="G19" s="9">
        <f>Assumptions!$B$10+($B$20-Assumptions!$B$10)*5/9</f>
        <v>0.048644580484938284</v>
      </c>
      <c r="H19" s="9">
        <f>Assumptions!$B$10+($B$20-Assumptions!$B$10)*6/9</f>
        <v>0.049134005643141396</v>
      </c>
      <c r="I19" s="9">
        <f>Assumptions!$B$10+($B$20-Assumptions!$B$10)*7/9</f>
        <v>0.04962343080134451</v>
      </c>
      <c r="J19" s="9">
        <f>Assumptions!$B$10+($B$20-Assumptions!$B$10)*8/9</f>
        <v>0.05011285595954763</v>
      </c>
      <c r="K19" s="9">
        <f>Assumptions!$B$10+($B$20-Assumptions!$B$10)*9/9</f>
        <v>0.05060228111775074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0.05060228111775074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3360304396.3848567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4993014733.380341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0.21398594115130345</v>
      </c>
    </row>
    <row r="7" spans="1:2" x14ac:dyDescent="0.25">
      <c r="A7" t="s">
        <v>66</v>
      </c>
      <c r="B7" s="18">
        <f>-MAX(B5,0)*B6</f>
        <v>-1068434956.9047166</v>
      </c>
    </row>
    <row r="8" spans="1:2" x14ac:dyDescent="0.25">
      <c r="A8" t="s">
        <v>67</v>
      </c>
      <c r="B8" s="18">
        <f>IF(OR(Assumptions!$B$33=0,Assumptions!B12&lt;=0),B5,MAX(B5+B7,0))</f>
        <v>3924579776.475624</v>
      </c>
    </row>
    <row r="9" spans="1:2" x14ac:dyDescent="0.25">
      <c r="A9" t="s">
        <v>68</v>
      </c>
      <c r="B9" s="18">
        <f>B8*(1+Assumptions!B12)/(Assumptions!B26-Assumptions!B12)</f>
        <v>69744493312.31508</v>
      </c>
    </row>
    <row r="10" spans="1:2" x14ac:dyDescent="0.25">
      <c r="A10" t="s">
        <v>69</v>
      </c>
      <c r="B10" s="18">
        <f>B9/(1+Assumptions!B26)^(10-0.5*Assumptions!B32)</f>
        <v>32792008874.658848</v>
      </c>
    </row>
    <row r="11" spans="1:2" x14ac:dyDescent="0.25">
      <c r="A11" t="s">
        <v>70</v>
      </c>
      <c r="B11" s="18">
        <f>Forecast!B17+B10</f>
        <v>48946513887.373276</v>
      </c>
    </row>
    <row r="12" spans="1:2" x14ac:dyDescent="0.25">
      <c r="A12" t="s">
        <v>71</v>
      </c>
      <c r="B12" s="18">
        <f>-Assumptions!B30</f>
        <v>-6120700000</v>
      </c>
    </row>
    <row r="13" spans="1:2" x14ac:dyDescent="0.25">
      <c r="A13" t="s">
        <v>72</v>
      </c>
      <c r="B13" s="18">
        <f>B11+B12</f>
        <v>42825813887.373276</v>
      </c>
    </row>
    <row r="14" spans="1:2" x14ac:dyDescent="0.25">
      <c r="A14" s="19" t="s">
        <v>73</v>
      </c>
      <c r="B14" s="24">
        <f>B13/Assumptions!B31</f>
        <v>81.2942556707921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7593233813.217427</v>
      </c>
    </row>
    <row r="18" spans="1:2" x14ac:dyDescent="0.25">
      <c r="A18" t="s">
        <v>68</v>
      </c>
      <c r="B18" s="18">
        <f>B17*Assumptions!B13</f>
        <v>119790898127.46431</v>
      </c>
    </row>
    <row r="19" spans="1:2" x14ac:dyDescent="0.25">
      <c r="A19" t="s">
        <v>69</v>
      </c>
      <c r="B19" s="18">
        <f>B18/(1+Assumptions!B26)^(10-0.5*Assumptions!B32)</f>
        <v>56322499568.65839</v>
      </c>
    </row>
    <row r="20" spans="1:2" x14ac:dyDescent="0.25">
      <c r="A20" t="s">
        <v>70</v>
      </c>
      <c r="B20" s="18">
        <f>Forecast!B17+B19</f>
        <v>72477004581.3728</v>
      </c>
    </row>
    <row r="21" spans="1:2" x14ac:dyDescent="0.25">
      <c r="A21" t="s">
        <v>71</v>
      </c>
      <c r="B21" s="18">
        <f>-Assumptions!B30</f>
        <v>-6120700000</v>
      </c>
    </row>
    <row r="22" spans="1:2" x14ac:dyDescent="0.25">
      <c r="A22" t="s">
        <v>72</v>
      </c>
      <c r="B22" s="18">
        <f>B20+B21</f>
        <v>66356304581.3728</v>
      </c>
    </row>
    <row r="23" spans="1:2" x14ac:dyDescent="0.25">
      <c r="A23" s="19" t="s">
        <v>73</v>
      </c>
      <c r="B23" s="25">
        <f>B22/Assumptions!B31</f>
        <v>125.96109449767047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101.91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81.2942556707921</v>
      </c>
    </row>
    <row r="29" spans="1:2" x14ac:dyDescent="0.25">
      <c r="A29" s="19" t="s">
        <v>81</v>
      </c>
      <c r="B29" s="11">
        <f>B28/B26-1</f>
        <v>-0.20229363486613583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0.062678</v>
      </c>
      <c r="B5" s="31">
        <v>123.1492710656018</v>
      </c>
      <c r="C5" s="31">
        <v>128.603045834668</v>
      </c>
      <c r="D5" s="31">
        <v>135.76574704518532</v>
      </c>
      <c r="E5" s="31">
        <v>145.42181366593317</v>
      </c>
      <c r="F5" s="31">
        <v>158.92251678418143</v>
      </c>
    </row>
    <row r="6" spans="1:6" x14ac:dyDescent="0.25">
      <c r="A6" s="30">
        <v>0.072678</v>
      </c>
      <c r="B6" s="31">
        <v>97.40398041382154</v>
      </c>
      <c r="C6" s="31">
        <v>99.72039150672114</v>
      </c>
      <c r="D6" s="31">
        <v>102.71778605033849</v>
      </c>
      <c r="E6" s="31">
        <v>106.63550871313905</v>
      </c>
      <c r="F6" s="31">
        <v>111.83995160159732</v>
      </c>
    </row>
    <row r="7" spans="1:6" x14ac:dyDescent="0.25">
      <c r="A7" s="30">
        <v>0.082678</v>
      </c>
      <c r="B7" s="31">
        <v>79.43935176339954</v>
      </c>
      <c r="C7" s="31">
        <v>80.22232911824666</v>
      </c>
      <c r="D7" s="32">
        <v>81.29353224159436</v>
      </c>
      <c r="E7" s="31">
        <v>82.73503308999966</v>
      </c>
      <c r="F7" s="31">
        <v>84.66333122040416</v>
      </c>
    </row>
    <row r="8" spans="1:6" x14ac:dyDescent="0.25">
      <c r="A8" s="30">
        <v>0.092678</v>
      </c>
      <c r="B8" s="31">
        <v>66.23739648989934</v>
      </c>
      <c r="C8" s="31">
        <v>66.22234115695476</v>
      </c>
      <c r="D8" s="31">
        <v>66.32799911704869</v>
      </c>
      <c r="E8" s="31">
        <v>66.58325928488142</v>
      </c>
      <c r="F8" s="31">
        <v>67.0270278832082</v>
      </c>
    </row>
    <row r="9" spans="1:6" x14ac:dyDescent="0.25">
      <c r="A9" s="30">
        <v>0.102678</v>
      </c>
      <c r="B9" s="31">
        <v>56.15810127110647</v>
      </c>
      <c r="C9" s="31">
        <v>55.715328195997486</v>
      </c>
      <c r="D9" s="31">
        <v>55.31697329458135</v>
      </c>
      <c r="E9" s="31">
        <v>54.97220402613587</v>
      </c>
      <c r="F9" s="31">
        <v>54.69289699006648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28444800000</v>
      </c>
      <c r="C5" s="18">
        <v>33663800000</v>
      </c>
      <c r="D5" s="18">
        <v>35127400000</v>
      </c>
      <c r="E5" s="18">
        <v>28819700000</v>
      </c>
      <c r="F5" s="6" t="s">
        <v>91</v>
      </c>
    </row>
    <row r="6" spans="1:6" x14ac:dyDescent="0.25">
      <c r="A6" t="s">
        <v>51</v>
      </c>
      <c r="B6" s="18">
        <v>2961700000</v>
      </c>
      <c r="C6" s="18">
        <v>4892400000</v>
      </c>
      <c r="D6" s="18">
        <v>5946400000</v>
      </c>
      <c r="E6" s="18">
        <v>3678600000</v>
      </c>
      <c r="F6" s="6" t="s">
        <v>92</v>
      </c>
    </row>
    <row r="7" spans="1:6" x14ac:dyDescent="0.25">
      <c r="A7" t="s">
        <v>93</v>
      </c>
      <c r="B7" s="18">
        <v>827400000</v>
      </c>
      <c r="C7" s="18">
        <v>916900000</v>
      </c>
      <c r="D7" s="18">
        <v>923900000</v>
      </c>
      <c r="E7" s="18">
        <v>790200000</v>
      </c>
      <c r="F7" s="6" t="s">
        <v>94</v>
      </c>
    </row>
    <row r="8" spans="1:6" x14ac:dyDescent="0.25">
      <c r="A8" t="s">
        <v>95</v>
      </c>
      <c r="B8" s="18">
        <v>1386600000</v>
      </c>
      <c r="C8" s="18">
        <v>1745600000</v>
      </c>
      <c r="D8" s="18">
        <v>1262500000</v>
      </c>
      <c r="E8" s="18">
        <v>1390500000</v>
      </c>
      <c r="F8" s="6" t="s">
        <v>96</v>
      </c>
    </row>
    <row r="9" spans="1:6" x14ac:dyDescent="0.25">
      <c r="A9" t="s">
        <v>97</v>
      </c>
      <c r="B9" s="18">
        <v>-718800000</v>
      </c>
      <c r="C9" s="18">
        <v>419800000</v>
      </c>
      <c r="D9" s="18">
        <v>1081500000</v>
      </c>
      <c r="E9" s="18">
        <v>547100000</v>
      </c>
      <c r="F9" s="6" t="s">
        <v>98</v>
      </c>
    </row>
    <row r="10" spans="1:6" x14ac:dyDescent="0.25">
      <c r="A10" t="s">
        <v>99</v>
      </c>
      <c r="B10" s="18">
        <v>15636300000</v>
      </c>
      <c r="C10" s="18">
        <v>15895000000</v>
      </c>
      <c r="D10" s="18">
        <v>14234500000</v>
      </c>
      <c r="E10" s="18">
        <v>11471600000</v>
      </c>
      <c r="F10" s="6" t="s">
        <v>100</v>
      </c>
    </row>
    <row r="11" spans="1:6" x14ac:dyDescent="0.25">
      <c r="A11" t="s">
        <v>101</v>
      </c>
      <c r="B11" s="18">
        <v>9515600000</v>
      </c>
      <c r="C11" s="18">
        <v>9839600000</v>
      </c>
      <c r="D11" s="18">
        <v>9004300000</v>
      </c>
      <c r="E11" s="18">
        <v>6305100000</v>
      </c>
      <c r="F11" s="6" t="s">
        <v>102</v>
      </c>
    </row>
    <row r="12" spans="1:6" x14ac:dyDescent="0.25">
      <c r="A12" t="s">
        <v>34</v>
      </c>
      <c r="B12" s="34">
        <v>526800000</v>
      </c>
      <c r="C12" s="34">
        <v>526600000</v>
      </c>
      <c r="D12" s="34">
        <v>525000000</v>
      </c>
      <c r="E12" s="34">
        <v>523350000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