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<sst xmlns="http://schemas.openxmlformats.org/spreadsheetml/2006/main" count="121" uniqueCount="108">
  <si>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PG&amp;E Corporation (PCG)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</si>
  <si>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</si>
  <si>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</si>
  <si>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</si>
  <si>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</si>
  <si>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</si>
  <si>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</si>
  <si>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</si>
  <si>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</si>
  <si>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</si>
  <si>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</si>
  <si>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</si>
  <si>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</si>
  <si>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</si>
  <si>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</si>
  <si>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</si>
  <si>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</si>
  <si>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</si>
  <si>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</si>
  <si>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</si>
  <si>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</si>
  <si>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</si>
  <si>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</si>
  <si>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</si>
  <si>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1.6x interest cover, capped at 200bp because one year's cover is too noisy to charge more.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</si>
  <si>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</si>
  <si>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</si>
  <si>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</si>
  <si>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</si>
  <si>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</si>
  <si>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</si>
  <si>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</si>
  <si>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</si>
  <si>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</si>
  <si>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</si>
  <si>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</si>
  <si>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</si>
  <si>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</si>
  <si>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</si>
  <si>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</si>
  <si>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</si>
  <si>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</si>
  <si>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</si>
  <si>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</si>
  <si>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</si>
  <si>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</si>
  <si>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</si>
  <si>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</si>
  <si>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</si>
  <si>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</si>
  <si>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</si>
  <si>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</si>
  <si>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</si>
  <si>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</si>
  <si>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</si>
  <si>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</si>
  <si>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</si>
  <si>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</si>
  <si>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</si>
  <si>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</si>
  <si>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</si>
  <si>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</si>
  <si>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</si>
  <si>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</si>
  <si>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</si>
  <si>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</si>
  <si>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</si>
  <si>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</si>
  <si>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</si>
  <si>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</si>
  <si>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</si>
  <si>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</si>
  <si>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</si>
  <si>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</si>
  <si>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</si>
  <si>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</si>
  <si>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</si>
  <si>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</si>
  <si>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</si>
  <si>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</si>
  <si>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</si>
  <si>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</si>
  <si>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</si>
  <si>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</si>
  <si>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</si>
  <si>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</si>
  <si>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</si>
  <si>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</si>
  <si>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</si>
  <si>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</si>
  <si>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</si>
  <si>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</si>
  <si>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</si>
  <si>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</si>
  <si>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</si>
  <si>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</si>
  <si>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</si>
  <si>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</si>
  <si>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</si>
  <si>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</si>
  <si>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</si>
  <si>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</si>
  <si>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</si>
  <si>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</si>
  <si>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</si>
  <si>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</si>
  <si>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43.4% of revenue against depreciation of 17.2%.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</si>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</sst>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0.03811624704230998</v>
      </c>
    </row>
    <row r="7" spans="1:2" x14ac:dyDescent="0.25">
      <c r="A7" t="s">
        <v>4</v>
      </c>
      <c r="B7" s="5">
        <v>0.1471361680635942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0.17206771014622668</v>
      </c>
    </row>
    <row r="10" spans="1:3" x14ac:dyDescent="0.25">
      <c r="A10" t="s">
        <v>7</v>
      </c>
      <c r="B10" s="5">
        <v>0.4342655630239123</v>
      </c>
      <c r="C10" s="6" t="s">
        <v>8</v>
      </c>
    </row>
    <row r="11" spans="1:2" x14ac:dyDescent="0.25">
      <c r="A11" t="s">
        <v>9</v>
      </c>
      <c r="B11" s="5">
        <v>0.018444154681404652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10.597219303595908</v>
      </c>
    </row>
    <row r="14" spans="1:3" x14ac:dyDescent="0.25">
      <c r="A14" t="s">
        <v>12</v>
      </c>
      <c r="B14" s="5">
        <v>0.05976246745289608</v>
      </c>
      <c r="C14" s="6" t="s">
        <v>13</v>
      </c>
    </row>
    <row r="15" spans="1:3" x14ac:dyDescent="0.25">
      <c r="A15" t="s">
        <v>14</v>
      </c>
      <c r="B15" s="5">
        <v>0.17206771014622668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0.44858999999999993</v>
      </c>
      <c r="C19" s="6" t="s">
        <v>21</v>
      </c>
    </row>
    <row r="20" spans="1:2" x14ac:dyDescent="0.25">
      <c r="A20" t="s">
        <v>22</v>
      </c>
      <c r="B20" s="9">
        <f>B17+B19*B18</f>
        <v>0.067915357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39871430656</v>
      </c>
    </row>
    <row r="23" spans="1:2" x14ac:dyDescent="0.25">
      <c r="A23" t="s">
        <v>26</v>
      </c>
      <c r="B23" s="10">
        <v>61335000000</v>
      </c>
    </row>
    <row r="24" spans="1:2" x14ac:dyDescent="0.25">
      <c r="A24" t="s">
        <v>27</v>
      </c>
      <c r="B24" s="9">
        <f>B22/(B22+B23)</f>
        <v>0.3939614350349212</v>
      </c>
    </row>
    <row r="25" spans="1:2" x14ac:dyDescent="0.25">
      <c r="A25" t="s">
        <v>28</v>
      </c>
      <c r="B25" s="9">
        <f>1-B24</f>
        <v>0.6060385649650788</v>
      </c>
    </row>
    <row r="26" spans="1:2" x14ac:dyDescent="0.25">
      <c r="A26" t="s">
        <v>29</v>
      </c>
      <c r="B26" s="11">
        <f>B24*B20+B25*B21*(1-B8)</f>
        <v>0.05976246745289608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24935000000</v>
      </c>
      <c r="C29" s="6" t="s">
        <v>32</v>
      </c>
    </row>
    <row r="30" spans="1:2" x14ac:dyDescent="0.25">
      <c r="A30" t="s">
        <v>33</v>
      </c>
      <c r="B30" s="10">
        <v>60622000000</v>
      </c>
    </row>
    <row r="31" spans="1:2" x14ac:dyDescent="0.25">
      <c r="A31" t="s">
        <v>34</v>
      </c>
      <c r="B31" s="12">
        <v>2202000000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0.03811624704230998</v>
      </c>
      <c r="C5" s="5">
        <v>0.04139616522216194</v>
      </c>
      <c r="D5" s="5">
        <v>0.0393466445693917</v>
      </c>
      <c r="E5" s="5">
        <v>0.037297123916621454</v>
      </c>
      <c r="F5" s="5">
        <v>0.035247603263851214</v>
      </c>
      <c r="G5" s="5">
        <v>0.03319808261108097</v>
      </c>
      <c r="H5" s="5">
        <v>0.031148561958310728</v>
      </c>
      <c r="I5" s="5">
        <v>0.029099041305540488</v>
      </c>
      <c r="J5" s="5">
        <v>0.027049520652770245</v>
      </c>
      <c r="K5" s="5">
        <v>0.025</v>
      </c>
    </row>
    <row r="6" spans="1:11" x14ac:dyDescent="0.25">
      <c r="A6" t="s">
        <v>50</v>
      </c>
      <c r="B6" s="18">
        <f>Assumptions!B29*(1+B5)</f>
        <v>25885428620</v>
      </c>
      <c r="C6" s="18">
        <f>B6*(1+C5)</f>
        <v>26956986100</v>
      </c>
      <c r="D6" s="18">
        <f>C6*(1+D5)</f>
        <v>28017653050.738735</v>
      </c>
      <c r="E6" s="18">
        <f>D6*(1+E5)</f>
        <v>29062630928.42505</v>
      </c>
      <c r="F6" s="18">
        <f>E6*(1+F5)</f>
        <v>30087019013.193905</v>
      </c>
      <c r="G6" s="18">
        <f>F6*(1+G5)</f>
        <v>31085850355.915077</v>
      </c>
      <c r="H6" s="18">
        <f>G6*(1+H5)</f>
        <v>32054129891.753075</v>
      </c>
      <c r="I6" s="18">
        <f>H6*(1+I5)</f>
        <v>32986874341.48636</v>
      </c>
      <c r="J6" s="18">
        <f>I6*(1+J5)</f>
        <v>33879153480.256733</v>
      </c>
      <c r="K6" s="18">
        <f>J6*(1+K5)</f>
        <v>34726132317.263145</v>
      </c>
    </row>
    <row r="7" spans="1:11" x14ac:dyDescent="0.25">
      <c r="A7" t="s">
        <v>4</v>
      </c>
      <c r="B7" s="9">
        <f>Assumptions!B7</f>
        <v>0.1471361680635942</v>
      </c>
      <c r="C7" s="9">
        <f>Assumptions!B7</f>
        <v>0.1471361680635942</v>
      </c>
      <c r="D7" s="9">
        <f>Assumptions!B7</f>
        <v>0.1471361680635942</v>
      </c>
      <c r="E7" s="9">
        <f>Assumptions!B7</f>
        <v>0.1471361680635942</v>
      </c>
      <c r="F7" s="9">
        <f>Assumptions!B7</f>
        <v>0.1471361680635942</v>
      </c>
      <c r="G7" s="9">
        <f>Assumptions!B7</f>
        <v>0.1471361680635942</v>
      </c>
      <c r="H7" s="9">
        <f>Assumptions!B7</f>
        <v>0.1471361680635942</v>
      </c>
      <c r="I7" s="9">
        <f>Assumptions!B7</f>
        <v>0.1471361680635942</v>
      </c>
      <c r="J7" s="9">
        <f>Assumptions!B7</f>
        <v>0.1471361680635942</v>
      </c>
      <c r="K7" s="9">
        <f>Assumptions!B7</f>
        <v>0.1471361680635942</v>
      </c>
    </row>
    <row r="8" spans="1:11" x14ac:dyDescent="0.25">
      <c r="A8" t="s">
        <v>51</v>
      </c>
      <c r="B8" s="18">
        <f>B6*B7</f>
        <v>3808682775.830491</v>
      </c>
      <c r="C8" s="18">
        <f>C6*C7</f>
        <v>3966347637.2975726</v>
      </c>
      <c r="D8" s="18">
        <f>D6*D7</f>
        <v>4122410108.020967</v>
      </c>
      <c r="E8" s="18">
        <f>E6*E7</f>
        <v>4276164148.6549587</v>
      </c>
      <c r="F8" s="18">
        <f>F6*F7</f>
        <v>4426888686.057853</v>
      </c>
      <c r="G8" s="18">
        <f>G6*G7</f>
        <v>4573852902.3676605</v>
      </c>
      <c r="H8" s="18">
        <f>H6*H7</f>
        <v>4716321842.885259</v>
      </c>
      <c r="I8" s="18">
        <f>I6*I7</f>
        <v>4853562287.0016</v>
      </c>
      <c r="J8" s="18">
        <f>J6*J7</f>
        <v>4984848820.323357</v>
      </c>
      <c r="K8" s="18">
        <f>K6*K7</f>
        <v>5109470040.83144</v>
      </c>
    </row>
    <row r="9" spans="1:11" x14ac:dyDescent="0.25">
      <c r="A9" t="s">
        <v>52</v>
      </c>
      <c r="B9" s="18">
        <f>B8*(1-Assumptions!B8)</f>
        <v>3008859392.906088</v>
      </c>
      <c r="C9" s="18">
        <f>C8*(1-Assumptions!B8)</f>
        <v>3133414633.4650826</v>
      </c>
      <c r="D9" s="18">
        <f>D8*(1-Assumptions!B8)</f>
        <v>3256703985.336564</v>
      </c>
      <c r="E9" s="18">
        <f>E8*(1-Assumptions!B8)</f>
        <v>3378169677.4374175</v>
      </c>
      <c r="F9" s="18">
        <f>F8*(1-Assumptions!B8)</f>
        <v>3497242061.985704</v>
      </c>
      <c r="G9" s="18">
        <f>G8*(1-Assumptions!B8)</f>
        <v>3613343792.870452</v>
      </c>
      <c r="H9" s="18">
        <f>H8*(1-Assumptions!B8)</f>
        <v>3725894255.8793545</v>
      </c>
      <c r="I9" s="18">
        <f>I8*(1-Assumptions!B8)</f>
        <v>3834314206.7312646</v>
      </c>
      <c r="J9" s="18">
        <f>J8*(1-Assumptions!B8)</f>
        <v>3938030568.055452</v>
      </c>
      <c r="K9" s="18">
        <f>K8*(1-Assumptions!B8)</f>
        <v>4036481332.256838</v>
      </c>
    </row>
    <row r="10" spans="1:11" x14ac:dyDescent="0.25">
      <c r="A10" t="s">
        <v>53</v>
      </c>
      <c r="B10" s="18">
        <f>B6*Assumptions!B9</f>
        <v>4454046428.797001</v>
      </c>
      <c r="C10" s="18">
        <f>C6*Assumptions!B9</f>
        <v>4638426870.670662</v>
      </c>
      <c r="D10" s="18">
        <f>D6*Assumptions!B9</f>
        <v>4820933404.112057</v>
      </c>
      <c r="E10" s="18">
        <f>E6*Assumptions!B9</f>
        <v>5000740354.679004</v>
      </c>
      <c r="F10" s="18">
        <f>F6*Assumptions!B9</f>
        <v>5177004466.72626</v>
      </c>
      <c r="G10" s="18">
        <f>G6*Assumptions!B9</f>
        <v>5348871088.690573</v>
      </c>
      <c r="H10" s="18">
        <f>H6*Assumptions!B9</f>
        <v>5515480731.203669</v>
      </c>
      <c r="I10" s="18">
        <f>I6*Assumptions!B9</f>
        <v>5675975932.820877</v>
      </c>
      <c r="J10" s="18">
        <f>J6*Assumptions!B9</f>
        <v>5829508361.040342</v>
      </c>
      <c r="K10" s="18">
        <f>K6*Assumptions!B9</f>
        <v>5975246070.06635</v>
      </c>
    </row>
    <row r="11" spans="1:11" x14ac:dyDescent="0.25">
      <c r="A11" t="s">
        <v>54</v>
      </c>
      <c r="B11" s="18">
        <f>-B6*B19</f>
        <v>-11241150233.779593</v>
      </c>
      <c r="C11" s="18">
        <f>-C6*C19</f>
        <v>-11066792386.694946</v>
      </c>
      <c r="D11" s="18">
        <f>-D6*D19</f>
        <v>-10837365189.827276</v>
      </c>
      <c r="E11" s="18">
        <f>-E6*E19</f>
        <v>-10551901721.818583</v>
      </c>
      <c r="F11" s="18">
        <f>-F6*F19</f>
        <v>-10209855872.692587</v>
      </c>
      <c r="G11" s="18">
        <f>-G6*G19</f>
        <v>-9811125812.529692</v>
      </c>
      <c r="H11" s="18">
        <f>-H6*H19</f>
        <v>-9356072974.401714</v>
      </c>
      <c r="I11" s="18">
        <f>-I6*I19</f>
        <v>-8845536090.01429</v>
      </c>
      <c r="J11" s="18">
        <f>-J6*J19</f>
        <v>-8280839878.350062</v>
      </c>
      <c r="K11" s="18">
        <f>-K6*K19</f>
        <v>-7663798059.422519</v>
      </c>
    </row>
    <row r="12" spans="1:11" x14ac:dyDescent="0.25">
      <c r="A12" t="s">
        <v>55</v>
      </c>
      <c r="B12" s="18">
        <f>-(B6-Assumptions!B29)*Assumptions!B11</f>
        <v>-17529852.480913963</v>
      </c>
      <c r="C12" s="18">
        <f>-(C6-B6)*Assumptions!B11</f>
        <v>-19763971.911136173</v>
      </c>
      <c r="D12" s="18">
        <f>-(D6-C6)*Assumptions!B11</f>
        <v>-19563105.30487904</v>
      </c>
      <c r="E12" s="18">
        <f>-(E6-D6)*Assumptions!B11</f>
        <v>-19273733.61469232</v>
      </c>
      <c r="F12" s="18">
        <f>-(F6-E6)*Assumptions!B11</f>
        <v>-18893972.28926464</v>
      </c>
      <c r="G12" s="18">
        <f>-(G6-F6)*Assumptions!B11</f>
        <v>-18422599.785784405</v>
      </c>
      <c r="H12" s="18">
        <f>-(H6-G6)*Assumptions!B11</f>
        <v>-17859097.533834726</v>
      </c>
      <c r="I12" s="18">
        <f>-(I6-H6)*Assumptions!B11</f>
        <v>-17203682.909102358</v>
      </c>
      <c r="J12" s="18">
        <f>-(J6-I6)*Assumptions!B11</f>
        <v>-16457334.45447131</v>
      </c>
      <c r="K12" s="18">
        <f>-(K6-J6)*Assumptions!B11</f>
        <v>-15621808.68162249</v>
      </c>
    </row>
    <row r="13" spans="1:11" x14ac:dyDescent="0.25">
      <c r="A13" s="19" t="s">
        <v>56</v>
      </c>
      <c r="B13" s="20">
        <f>B9+B10+B11+B12</f>
        <v>-3795774264.557418</v>
      </c>
      <c r="C13" s="20">
        <f>C9+C10+C11+C12</f>
        <v>-3314714854.4703383</v>
      </c>
      <c r="D13" s="20">
        <f>D9+D10+D11+D12</f>
        <v>-2779290905.6835346</v>
      </c>
      <c r="E13" s="20">
        <f>E9+E10+E11+E12</f>
        <v>-2192265423.316854</v>
      </c>
      <c r="F13" s="20">
        <f>F9+F10+F11+F12</f>
        <v>-1554503316.269888</v>
      </c>
      <c r="G13" s="20">
        <f>G9+G10+G11+G12</f>
        <v>-867333530.7544523</v>
      </c>
      <c r="H13" s="20">
        <f>H9+H10+H11+H12</f>
        <v>-132557084.85252598</v>
      </c>
      <c r="I13" s="20">
        <f>I9+I10+I11+I12</f>
        <v>647550366.628749</v>
      </c>
      <c r="J13" s="20">
        <f>J9+J10+J11+J12</f>
        <v>1470241716.291261</v>
      </c>
      <c r="K13" s="20">
        <f>K9+K10+K11+K12</f>
        <v>2332307534.2190475</v>
      </c>
    </row>
    <row r="14" spans="1:11" x14ac:dyDescent="0.25">
      <c r="A14" t="s">
        <v>57</v>
      </c>
      <c r="B14" s="21">
        <f>1/(1+Assumptions!$B$26)^(1-0.5*Assumptions!$B$32)</f>
        <v>0.9713947070680274</v>
      </c>
      <c r="C14" s="21">
        <f>1/(1+Assumptions!$B$26)^(2-0.5*Assumptions!$B$32)</f>
        <v>0.9166155029086305</v>
      </c>
      <c r="D14" s="21">
        <f>1/(1+Assumptions!$B$26)^(3-0.5*Assumptions!$B$32)</f>
        <v>0.8649254253282677</v>
      </c>
      <c r="E14" s="21">
        <f>1/(1+Assumptions!$B$26)^(4-0.5*Assumptions!$B$32)</f>
        <v>0.8161502713028583</v>
      </c>
      <c r="F14" s="21">
        <f>1/(1+Assumptions!$B$26)^(5-0.5*Assumptions!$B$32)</f>
        <v>0.7701256615215374</v>
      </c>
      <c r="G14" s="21">
        <f>1/(1+Assumptions!$B$26)^(6-0.5*Assumptions!$B$32)</f>
        <v>0.7266964864046458</v>
      </c>
      <c r="H14" s="21">
        <f>1/(1+Assumptions!$B$26)^(7-0.5*Assumptions!$B$32)</f>
        <v>0.6857163833620535</v>
      </c>
      <c r="I14" s="21">
        <f>1/(1+Assumptions!$B$26)^(8-0.5*Assumptions!$B$32)</f>
        <v>0.6470472435300999</v>
      </c>
      <c r="J14" s="21">
        <f>1/(1+Assumptions!$B$26)^(9-0.5*Assumptions!$B$32)</f>
        <v>0.6105587463247839</v>
      </c>
      <c r="K14" s="21">
        <f>1/(1+Assumptions!$B$26)^(10-0.5*Assumptions!$B$32)</f>
        <v>0.576127920242582</v>
      </c>
    </row>
    <row r="15" spans="1:11" x14ac:dyDescent="0.25">
      <c r="A15" s="19" t="s">
        <v>58</v>
      </c>
      <c r="B15" s="20">
        <f>B13*B14</f>
        <v>-3687195029.81611</v>
      </c>
      <c r="C15" s="20">
        <f>C13*C14</f>
        <v>-3038319023.329037</v>
      </c>
      <c r="D15" s="20">
        <f>D13*D14</f>
        <v>-2403879368.709317</v>
      </c>
      <c r="E15" s="20">
        <f>E13*E14</f>
        <v>-1789218020.007926</v>
      </c>
      <c r="F15" s="20">
        <f>F13*F14</f>
        <v>-1197162894.779771</v>
      </c>
      <c r="G15" s="20">
        <f>G13*G14</f>
        <v>-630288229.3401964</v>
      </c>
      <c r="H15" s="20">
        <f>H13*H14</f>
        <v>-90896564.81409097</v>
      </c>
      <c r="I15" s="20">
        <f>I13*I14</f>
        <v>418995679.77403766</v>
      </c>
      <c r="J15" s="20">
        <f>J13*J14</f>
        <v>897668939.0931909</v>
      </c>
      <c r="K15" s="20">
        <f>K13*K14</f>
        <v>1343707489.0557244</v>
      </c>
    </row>
    <row r="17" spans="1:2" x14ac:dyDescent="0.25">
      <c r="A17" s="22" t="s">
        <v>59</v>
      </c>
      <c r="B17" s="23">
        <f>SUM(B15:K15)</f>
        <v>-10176587022.873497</v>
      </c>
    </row>
    <row r="19" spans="1:11" x14ac:dyDescent="0.25">
      <c r="A19" t="s">
        <v>7</v>
      </c>
      <c r="B19" s="9">
        <f>Assumptions!$B$10+($B$20-Assumptions!$B$10)*0/9</f>
        <v>0.4342655630239123</v>
      </c>
      <c r="C19" s="9">
        <f>Assumptions!$B$10+($B$20-Assumptions!$B$10)*1/9</f>
        <v>0.41053522621710836</v>
      </c>
      <c r="D19" s="9">
        <f>Assumptions!$B$10+($B$20-Assumptions!$B$10)*2/9</f>
        <v>0.38680488941030444</v>
      </c>
      <c r="E19" s="9">
        <f>Assumptions!$B$10+($B$20-Assumptions!$B$10)*3/9</f>
        <v>0.3630745526035005</v>
      </c>
      <c r="F19" s="9">
        <f>Assumptions!$B$10+($B$20-Assumptions!$B$10)*4/9</f>
        <v>0.3393442157966966</v>
      </c>
      <c r="G19" s="9">
        <f>Assumptions!$B$10+($B$20-Assumptions!$B$10)*5/9</f>
        <v>0.3156138789898926</v>
      </c>
      <c r="H19" s="9">
        <f>Assumptions!$B$10+($B$20-Assumptions!$B$10)*6/9</f>
        <v>0.29188354218308876</v>
      </c>
      <c r="I19" s="9">
        <f>Assumptions!$B$10+($B$20-Assumptions!$B$10)*7/9</f>
        <v>0.2681532053762848</v>
      </c>
      <c r="J19" s="9">
        <f>Assumptions!$B$10+($B$20-Assumptions!$B$10)*8/9</f>
        <v>0.2444228685694809</v>
      </c>
      <c r="K19" s="9">
        <f>Assumptions!$B$10+($B$20-Assumptions!$B$10)*9/9</f>
        <v>0.22069253176267695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0.22069253176267695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2332307534.2190475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4036481332.256838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0.41832275448975803</v>
      </c>
    </row>
    <row r="7" spans="1:2" x14ac:dyDescent="0.25">
      <c r="A7" t="s">
        <v>66</v>
      </c>
      <c r="B7" s="18">
        <f>-MAX(B5,0)*B6</f>
        <v>-1688551989.3561685</v>
      </c>
    </row>
    <row r="8" spans="1:2" x14ac:dyDescent="0.25">
      <c r="A8" t="s">
        <v>67</v>
      </c>
      <c r="B8" s="18">
        <f>IF(OR(Assumptions!$B$33=0,Assumptions!B12&lt;=0),B5,MAX(B5+B7,0))</f>
        <v>2347929342.900669</v>
      </c>
    </row>
    <row r="9" spans="1:2" x14ac:dyDescent="0.25">
      <c r="A9" t="s">
        <v>68</v>
      </c>
      <c r="B9" s="18">
        <f>B8*(1+Assumptions!B12)/(Assumptions!B26-Assumptions!B12)</f>
        <v>69230631563.60289</v>
      </c>
    </row>
    <row r="10" spans="1:2" x14ac:dyDescent="0.25">
      <c r="A10" t="s">
        <v>69</v>
      </c>
      <c r="B10" s="18">
        <f>B9/(1+Assumptions!B26)^(10-0.5*Assumptions!B32)</f>
        <v>39885699779.818985</v>
      </c>
    </row>
    <row r="11" spans="1:2" x14ac:dyDescent="0.25">
      <c r="A11" t="s">
        <v>70</v>
      </c>
      <c r="B11" s="18">
        <f>Forecast!B17+B10</f>
        <v>29709112756.945488</v>
      </c>
    </row>
    <row r="12" spans="1:2" x14ac:dyDescent="0.25">
      <c r="A12" t="s">
        <v>71</v>
      </c>
      <c r="B12" s="18">
        <f>-Assumptions!B30</f>
        <v>-60622000000</v>
      </c>
    </row>
    <row r="13" spans="1:2" x14ac:dyDescent="0.25">
      <c r="A13" t="s">
        <v>72</v>
      </c>
      <c r="B13" s="18">
        <f>B11+B12</f>
        <v>-30912887243.054512</v>
      </c>
    </row>
    <row r="14" spans="1:2" x14ac:dyDescent="0.25">
      <c r="A14" s="19" t="s">
        <v>73</v>
      </c>
      <c r="B14" s="24">
        <f>B13/Assumptions!B31</f>
        <v>-14.038550064965719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11084716110.897789</v>
      </c>
    </row>
    <row r="18" spans="1:2" x14ac:dyDescent="0.25">
      <c r="A18" t="s">
        <v>68</v>
      </c>
      <c r="B18" s="18">
        <f>B17*Assumptions!B13</f>
        <v>117467167545.2866</v>
      </c>
    </row>
    <row r="19" spans="1:2" x14ac:dyDescent="0.25">
      <c r="A19" t="s">
        <v>69</v>
      </c>
      <c r="B19" s="18">
        <f>B18/(1+Assumptions!B26)^(10-0.5*Assumptions!B32)</f>
        <v>67676114934.65289</v>
      </c>
    </row>
    <row r="20" spans="1:2" x14ac:dyDescent="0.25">
      <c r="A20" t="s">
        <v>70</v>
      </c>
      <c r="B20" s="18">
        <f>Forecast!B17+B19</f>
        <v>57499527911.779396</v>
      </c>
    </row>
    <row r="21" spans="1:2" x14ac:dyDescent="0.25">
      <c r="A21" t="s">
        <v>71</v>
      </c>
      <c r="B21" s="18">
        <f>-Assumptions!B30</f>
        <v>-60622000000</v>
      </c>
    </row>
    <row r="22" spans="1:2" x14ac:dyDescent="0.25">
      <c r="A22" t="s">
        <v>72</v>
      </c>
      <c r="B22" s="18">
        <f>B20+B21</f>
        <v>-3122472088.220604</v>
      </c>
    </row>
    <row r="23" spans="1:2" x14ac:dyDescent="0.25">
      <c r="A23" s="19" t="s">
        <v>73</v>
      </c>
      <c r="B23" s="25">
        <f>B22/Assumptions!B31</f>
        <v>-1.4180163888376949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-14.038550064965719</v>
      </c>
    </row>
    <row r="29" spans="1:2" x14ac:dyDescent="0.25">
      <c r="A29" s="19" t="s">
        <v>81</v>
      </c>
      <c r="B29" s="11">
        <f>B28/B26-1</f>
        <v>-2.0571197338076597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0.039762</v>
      </c>
      <c r="B5" s="31">
        <v>0.3946525585776285</v>
      </c>
      <c r="C5" s="31">
        <v>-0.26539905444296785</v>
      </c>
      <c r="D5" s="31">
        <v>-0.9254506674635746</v>
      </c>
      <c r="E5" s="31">
        <v>-1.5855022804841779</v>
      </c>
      <c r="F5" s="31">
        <v>-2.245553893504781</v>
      </c>
    </row>
    <row r="6" spans="1:6" x14ac:dyDescent="0.25">
      <c r="A6" s="30">
        <v>0.049762</v>
      </c>
      <c r="B6" s="31">
        <v>-7.883742697482162</v>
      </c>
      <c r="C6" s="31">
        <v>-8.38115188723302</v>
      </c>
      <c r="D6" s="31">
        <v>-8.878561076983878</v>
      </c>
      <c r="E6" s="31">
        <v>-9.375970266734727</v>
      </c>
      <c r="F6" s="31">
        <v>-9.873379456485585</v>
      </c>
    </row>
    <row r="7" spans="1:6" x14ac:dyDescent="0.25">
      <c r="A7" s="30">
        <v>0.059762</v>
      </c>
      <c r="B7" s="31">
        <v>-13.25640397542545</v>
      </c>
      <c r="C7" s="31">
        <v>-13.647378060054395</v>
      </c>
      <c r="D7" s="32">
        <v>-14.038352144683337</v>
      </c>
      <c r="E7" s="31">
        <v>-14.429326229312277</v>
      </c>
      <c r="F7" s="31">
        <v>-14.820300313941225</v>
      </c>
    </row>
    <row r="8" spans="1:6" x14ac:dyDescent="0.25">
      <c r="A8" s="30">
        <v>0.069762</v>
      </c>
      <c r="B8" s="31">
        <v>-16.98196734521379</v>
      </c>
      <c r="C8" s="31">
        <v>-17.298416696833335</v>
      </c>
      <c r="D8" s="31">
        <v>-17.614866048452885</v>
      </c>
      <c r="E8" s="31">
        <v>-17.93131540007242</v>
      </c>
      <c r="F8" s="31">
        <v>-18.24776475169197</v>
      </c>
    </row>
    <row r="9" spans="1:6" x14ac:dyDescent="0.25">
      <c r="A9" s="30">
        <v>0.079762</v>
      </c>
      <c r="B9" s="31">
        <v>-19.68715896173892</v>
      </c>
      <c r="C9" s="31">
        <v>-19.948891965168336</v>
      </c>
      <c r="D9" s="31">
        <v>-20.21062496859776</v>
      </c>
      <c r="E9" s="31">
        <v>-20.472357972027172</v>
      </c>
      <c r="F9" s="31">
        <v>-20.73409097545659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24935000000</v>
      </c>
      <c r="C5" s="18">
        <v>24419000000</v>
      </c>
      <c r="D5" s="18">
        <v>24428000000</v>
      </c>
      <c r="E5" s="18">
        <v>21680000000</v>
      </c>
      <c r="F5" s="6" t="s">
        <v>91</v>
      </c>
    </row>
    <row r="6" spans="1:6" x14ac:dyDescent="0.25">
      <c r="A6" t="s">
        <v>51</v>
      </c>
      <c r="B6" s="18">
        <v>4849000000</v>
      </c>
      <c r="C6" s="18">
        <v>4553000000</v>
      </c>
      <c r="D6" s="18">
        <v>2735000000</v>
      </c>
      <c r="E6" s="18">
        <v>2074000000</v>
      </c>
      <c r="F6" s="6" t="s">
        <v>92</v>
      </c>
    </row>
    <row r="7" spans="1:6" x14ac:dyDescent="0.25">
      <c r="A7" t="s">
        <v>93</v>
      </c>
      <c r="B7" s="18">
        <v>4634000000</v>
      </c>
      <c r="C7" s="18">
        <v>4189000000</v>
      </c>
      <c r="D7" s="18">
        <v>3738000000</v>
      </c>
      <c r="E7" s="18">
        <v>3856000000</v>
      </c>
      <c r="F7" s="6" t="s">
        <v>94</v>
      </c>
    </row>
    <row r="8" spans="1:6" x14ac:dyDescent="0.25">
      <c r="A8" t="s">
        <v>95</v>
      </c>
      <c r="B8" s="18">
        <v>11787000000</v>
      </c>
      <c r="C8" s="18">
        <v>10369000000</v>
      </c>
      <c r="D8" s="18">
        <v>9714000000</v>
      </c>
      <c r="E8" s="18">
        <v>9584000000</v>
      </c>
      <c r="F8" s="6" t="s">
        <v>96</v>
      </c>
    </row>
    <row r="9" spans="1:6" x14ac:dyDescent="0.25">
      <c r="A9" t="s">
        <v>97</v>
      </c>
      <c r="B9" s="18">
        <v>-292000000</v>
      </c>
      <c r="C9" s="18">
        <v>-140000000</v>
      </c>
      <c r="D9" s="18">
        <v>650000000</v>
      </c>
      <c r="E9" s="18">
        <v>1847000000</v>
      </c>
      <c r="F9" s="6" t="s">
        <v>98</v>
      </c>
    </row>
    <row r="10" spans="1:6" x14ac:dyDescent="0.25">
      <c r="A10" t="s">
        <v>99</v>
      </c>
      <c r="B10" s="18">
        <v>61335000000</v>
      </c>
      <c r="C10" s="18">
        <v>58343000000</v>
      </c>
      <c r="D10" s="18">
        <v>57733000000</v>
      </c>
      <c r="E10" s="18">
        <v>53539000000</v>
      </c>
      <c r="F10" s="6" t="s">
        <v>100</v>
      </c>
    </row>
    <row r="11" spans="1:6" x14ac:dyDescent="0.25">
      <c r="A11" t="s">
        <v>101</v>
      </c>
      <c r="B11" s="18">
        <v>713000000</v>
      </c>
      <c r="C11" s="18">
        <v>940000000</v>
      </c>
      <c r="D11" s="18">
        <v>635000000</v>
      </c>
      <c r="E11" s="18">
        <v>734000000</v>
      </c>
      <c r="F11" s="6" t="s">
        <v>102</v>
      </c>
    </row>
    <row r="12" spans="1:6" x14ac:dyDescent="0.25">
      <c r="A12" t="s">
        <v>34</v>
      </c>
      <c r="B12" s="34">
        <v>2202000000</v>
      </c>
      <c r="C12" s="34">
        <v>2147000000</v>
      </c>
      <c r="D12" s="34">
        <v>2138000000</v>
      </c>
      <c r="E12" s="34">
        <v>2132000000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