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<sst xmlns="http://schemas.openxmlformats.org/spreadsheetml/2006/main" count="114" uniqueCount="102">
  <si>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PG&amp;E Corporation (PCG)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</si>
  <si>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</si>
  <si>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</si>
  <si>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</si>
  <si>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</si>
  <si>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</si>
  <si>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</si>
  <si>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</si>
  <si>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</si>
  <si>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</si>
  <si>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</si>
  <si>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</si>
  <si>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</si>
  <si>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</si>
  <si>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</si>
  <si>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</si>
  <si>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</si>
  <si>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</si>
  <si>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</si>
  <si>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</si>
  <si>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</si>
  <si>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</si>
  <si>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</si>
  <si>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</si>
  <si>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</si>
  <si>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</si>
  <si>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</si>
  <si>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</si>
  <si>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</si>
  <si>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</si>
  <si>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</si>
  <si>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</si>
  <si>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</si>
  <si>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</si>
  <si>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</si>
  <si>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</si>
  <si>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</si>
  <si>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</si>
  <si>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</si>
  <si>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</si>
  <si>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</si>
  <si>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</si>
  <si>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</si>
  <si>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</si>
  <si>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</si>
  <si>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</si>
  <si>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</si>
  <si>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</si>
  <si>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</si>
  <si>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</si>
  <si>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</si>
  <si>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</si>
  <si>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</si>
  <si>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</si>
  <si>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</si>
  <si>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</si>
  <si>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</si>
  <si>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</si>
  <si>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</si>
  <si>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</si>
  <si>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</si>
  <si>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</si>
  <si>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</si>
  <si>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</si>
  <si>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</si>
  <si>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</si>
  <si>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</si>
  <si>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</si>
  <si>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</si>
  <si>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</si>
  <si>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</si>
  <si>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</si>
  <si>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</si>
  <si>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</si>
  <si>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</si>
  <si>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</si>
  <si>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</si>
  <si>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</si>
  <si>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</si>
  <si>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</si>
  <si>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</si>
  <si>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</si>
  <si>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</si>
  <si>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</si>
  <si>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</si>
  <si>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</si>
  <si>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</si>
  <si>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</si>
  <si>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</si>
  <si>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</si>
  <si>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</si>
  <si>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</si>
  <si>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</si>
  <si>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</si>
  <si>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</si>
  <si>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</si>
  <si>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</si>
  <si>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</si>
  <si>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</si>
  <si>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</si>
  <si>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43.4% of revenue against depreciation of 17.2%.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</si>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</sst>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0.04773157336794509</v>
      </c>
    </row>
    <row r="7" spans="1:2" x14ac:dyDescent="0.25">
      <c r="A7" t="s">
        <v>5</v>
      </c>
      <c r="B7" s="6">
        <v>0.1471361680635942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0.17206771014622668</v>
      </c>
    </row>
    <row r="10" spans="1:2" x14ac:dyDescent="0.25">
      <c r="A10" t="s">
        <v>8</v>
      </c>
      <c r="B10" s="6">
        <v>0.4342655630239123</v>
      </c>
    </row>
    <row r="11" spans="1:2" x14ac:dyDescent="0.25">
      <c r="A11" t="s">
        <v>9</v>
      </c>
      <c r="B11" s="6">
        <v>0.23653566229985443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9.458319441526942</v>
      </c>
    </row>
    <row r="14" spans="1:3" x14ac:dyDescent="0.25">
      <c r="A14" t="s">
        <v>12</v>
      </c>
      <c r="B14" s="6">
        <v>0.05193236756075317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0.49415</v>
      </c>
      <c r="C19" s="8" t="s">
        <v>19</v>
      </c>
    </row>
    <row r="20" spans="1:2" x14ac:dyDescent="0.25">
      <c r="A20" t="s">
        <v>20</v>
      </c>
      <c r="B20" s="10">
        <f>B17+B19*B18</f>
        <v>0.07715825</v>
      </c>
    </row>
    <row r="21" spans="1:3" x14ac:dyDescent="0.25">
      <c r="A21" t="s">
        <v>21</v>
      </c>
      <c r="B21" s="6">
        <v>0.05060244990725112</v>
      </c>
      <c r="C21" s="8" t="s">
        <v>22</v>
      </c>
    </row>
    <row r="22" spans="1:2" x14ac:dyDescent="0.25">
      <c r="A22" t="s">
        <v>23</v>
      </c>
      <c r="B22" s="11">
        <v>29071243264</v>
      </c>
    </row>
    <row r="23" spans="1:2" x14ac:dyDescent="0.25">
      <c r="A23" t="s">
        <v>24</v>
      </c>
      <c r="B23" s="11">
        <v>61335000000</v>
      </c>
    </row>
    <row r="24" spans="1:2" x14ac:dyDescent="0.25">
      <c r="A24" t="s">
        <v>25</v>
      </c>
      <c r="B24" s="10">
        <f>B22/(B22+B23)</f>
        <v>0.3215623414315264</v>
      </c>
    </row>
    <row r="25" spans="1:2" x14ac:dyDescent="0.25">
      <c r="A25" t="s">
        <v>26</v>
      </c>
      <c r="B25" s="10">
        <f>1-B24</f>
        <v>0.6784376585684736</v>
      </c>
    </row>
    <row r="26" spans="1:2" x14ac:dyDescent="0.25">
      <c r="A26" t="s">
        <v>27</v>
      </c>
      <c r="B26" s="12">
        <f>B24*B20+B25*B21*(1-B8)</f>
        <v>0.05193236756075317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24935000000</v>
      </c>
      <c r="C29" s="8" t="s">
        <v>30</v>
      </c>
    </row>
    <row r="30" spans="1:2" x14ac:dyDescent="0.25">
      <c r="A30" t="s">
        <v>31</v>
      </c>
      <c r="B30" s="11">
        <v>60622000000</v>
      </c>
    </row>
    <row r="31" spans="1:2" x14ac:dyDescent="0.25">
      <c r="A31" t="s">
        <v>32</v>
      </c>
      <c r="B31" s="13">
        <v>2202000000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0.04773157336794509</v>
      </c>
      <c r="C5" s="10">
        <f>Assumptions!B6</f>
        <v>0.04773157336794509</v>
      </c>
      <c r="D5" s="10">
        <f>Assumptions!B6</f>
        <v>0.04773157336794509</v>
      </c>
      <c r="E5" s="10">
        <f>Assumptions!B6</f>
        <v>0.04773157336794509</v>
      </c>
      <c r="F5" s="10">
        <f>Assumptions!B6</f>
        <v>0.04773157336794509</v>
      </c>
    </row>
    <row r="6" spans="1:6" x14ac:dyDescent="0.25">
      <c r="A6" t="s">
        <v>43</v>
      </c>
      <c r="B6" s="18">
        <f>Assumptions!B29*(1+B5)</f>
        <v>26125186781.92971</v>
      </c>
      <c r="C6" s="18">
        <f>B6*(1+C5)</f>
        <v>27372183051.562656</v>
      </c>
      <c r="D6" s="18">
        <f>C6*(1+D5)</f>
        <v>28678700415.129143</v>
      </c>
      <c r="E6" s="18">
        <f>D6*(1+E5)</f>
        <v>30047579908.091198</v>
      </c>
      <c r="F6" s="18">
        <f>E6*(1+F5)</f>
        <v>31481798173.003445</v>
      </c>
    </row>
    <row r="7" spans="1:6" x14ac:dyDescent="0.25">
      <c r="A7" t="s">
        <v>5</v>
      </c>
      <c r="B7" s="10">
        <f>Assumptions!B7</f>
        <v>0.1471361680635942</v>
      </c>
      <c r="C7" s="10">
        <f>Assumptions!B7</f>
        <v>0.1471361680635942</v>
      </c>
      <c r="D7" s="10">
        <f>Assumptions!B7</f>
        <v>0.1471361680635942</v>
      </c>
      <c r="E7" s="10">
        <f>Assumptions!B7</f>
        <v>0.1471361680635942</v>
      </c>
      <c r="F7" s="10">
        <f>Assumptions!B7</f>
        <v>0.1471361680635942</v>
      </c>
    </row>
    <row r="8" spans="1:6" x14ac:dyDescent="0.25">
      <c r="A8" t="s">
        <v>44</v>
      </c>
      <c r="B8" s="18">
        <f>B6*B7</f>
        <v>3843959873.0387993</v>
      </c>
      <c r="C8" s="18">
        <f>C6*C7</f>
        <v>4027438125.7421875</v>
      </c>
      <c r="D8" s="18">
        <f>D6*D7</f>
        <v>4219674084.1259103</v>
      </c>
      <c r="E8" s="18">
        <f>E6*E7</f>
        <v>4421085767.261183</v>
      </c>
      <c r="F8" s="18">
        <f>F6*F7</f>
        <v>4632111146.927188</v>
      </c>
    </row>
    <row r="9" spans="1:6" x14ac:dyDescent="0.25">
      <c r="A9" t="s">
        <v>45</v>
      </c>
      <c r="B9" s="18">
        <f>B8*(1-Assumptions!B8)</f>
        <v>3036728299.7006516</v>
      </c>
      <c r="C9" s="18">
        <f>C8*(1-Assumptions!B8)</f>
        <v>3181676119.3363285</v>
      </c>
      <c r="D9" s="18">
        <f>D8*(1-Assumptions!B8)</f>
        <v>3333542526.4594693</v>
      </c>
      <c r="E9" s="18">
        <f>E8*(1-Assumptions!B8)</f>
        <v>3492657756.1363344</v>
      </c>
      <c r="F9" s="18">
        <f>F8*(1-Assumptions!B8)</f>
        <v>3659367806.072479</v>
      </c>
    </row>
    <row r="10" spans="1:6" x14ac:dyDescent="0.25">
      <c r="A10" t="s">
        <v>46</v>
      </c>
      <c r="B10" s="18">
        <f>B6*Assumptions!B9</f>
        <v>4495301066.709114</v>
      </c>
      <c r="C10" s="18">
        <f>C6*Assumptions!B9</f>
        <v>4709868859.385742</v>
      </c>
      <c r="D10" s="18">
        <f>D6*Assumptions!B9</f>
        <v>4934678310.400912</v>
      </c>
      <c r="E10" s="18">
        <f>E6*Assumptions!B9</f>
        <v>5170218270.221021</v>
      </c>
      <c r="F10" s="18">
        <f>F6*Assumptions!B9</f>
        <v>5417000922.914366</v>
      </c>
    </row>
    <row r="11" spans="1:6" x14ac:dyDescent="0.25">
      <c r="A11" t="s">
        <v>47</v>
      </c>
      <c r="B11" s="18">
        <f>-B6*Assumptions!B10</f>
        <v>-11345268946.959578</v>
      </c>
      <c r="C11" s="18">
        <f>-C6*Assumptions!B10</f>
        <v>-11886796484.080446</v>
      </c>
      <c r="D11" s="18">
        <f>-D6*Assumptions!B10</f>
        <v>-12454171982.570164</v>
      </c>
      <c r="E11" s="18">
        <f>-E6*Assumptions!B10</f>
        <v>-13048629206.293219</v>
      </c>
      <c r="F11" s="18">
        <f>-F6*Assumptions!B10</f>
        <v>-13671460808.604513</v>
      </c>
    </row>
    <row r="12" spans="1:6" x14ac:dyDescent="0.25">
      <c r="A12" t="s">
        <v>48</v>
      </c>
      <c r="B12" s="18">
        <f>-(B6-Assumptions!B29)*Assumptions!B11</f>
        <v>-281521618.7242765</v>
      </c>
      <c r="C12" s="18">
        <f>-(C6-B6)*Assumptions!B11</f>
        <v>-294959088.5230767</v>
      </c>
      <c r="D12" s="18">
        <f>-(D6-C6)*Assumptions!B11</f>
        <v>-309037949.89745855</v>
      </c>
      <c r="E12" s="18">
        <f>-(E6-D6)*Assumptions!B11</f>
        <v>-323788817.4764686</v>
      </c>
      <c r="F12" s="18">
        <f>-(F6-E6)*Assumptions!B11</f>
        <v>-339243767.17356634</v>
      </c>
    </row>
    <row r="13" spans="1:6" x14ac:dyDescent="0.25">
      <c r="A13" s="19" t="s">
        <v>49</v>
      </c>
      <c r="B13" s="20">
        <f>B9+B10+B11+B12</f>
        <v>-4094761199.274089</v>
      </c>
      <c r="C13" s="20">
        <f>C9+C10+C11+C12</f>
        <v>-4290210593.881452</v>
      </c>
      <c r="D13" s="20">
        <f>D9+D10+D11+D12</f>
        <v>-4494989095.607241</v>
      </c>
      <c r="E13" s="20">
        <f>E9+E10+E11+E12</f>
        <v>-4709541997.412333</v>
      </c>
      <c r="F13" s="20">
        <f>F9+F10+F11+F12</f>
        <v>-4934335846.791235</v>
      </c>
    </row>
    <row r="14" spans="1:6" x14ac:dyDescent="0.25">
      <c r="A14" t="s">
        <v>50</v>
      </c>
      <c r="B14" s="21">
        <f>1/(1+Assumptions!$B$26)^(1-0.5*Assumptions!$B$32)</f>
        <v>0.9750033116470573</v>
      </c>
      <c r="C14" s="21">
        <f>1/(1+Assumptions!$B$26)^(2-0.5*Assumptions!$B$32)</f>
        <v>0.9268688194355298</v>
      </c>
      <c r="D14" s="21">
        <f>1/(1+Assumptions!$B$26)^(3-0.5*Assumptions!$B$32)</f>
        <v>0.8811106569377423</v>
      </c>
      <c r="E14" s="21">
        <f>1/(1+Assumptions!$B$26)^(4-0.5*Assumptions!$B$32)</f>
        <v>0.8376115082197569</v>
      </c>
      <c r="F14" s="21">
        <f>1/(1+Assumptions!$B$26)^(5-0.5*Assumptions!$B$32)</f>
        <v>0.7962598490642808</v>
      </c>
    </row>
    <row r="15" spans="1:6" x14ac:dyDescent="0.25">
      <c r="A15" s="19" t="s">
        <v>51</v>
      </c>
      <c r="B15" s="20">
        <f>B13*B14</f>
        <v>-3992405729.6961126</v>
      </c>
      <c r="C15" s="20">
        <f>C13*C14</f>
        <v>-3976462428.2807045</v>
      </c>
      <c r="D15" s="20">
        <f>D13*D14</f>
        <v>-3960582794.9584837</v>
      </c>
      <c r="E15" s="20">
        <f>E13*E14</f>
        <v>-3944766575.4768305</v>
      </c>
      <c r="F15" s="20">
        <f>F13*F14</f>
        <v>-3929013516.5984592</v>
      </c>
    </row>
    <row r="17" spans="1:2" x14ac:dyDescent="0.25">
      <c r="A17" s="22" t="s">
        <v>52</v>
      </c>
      <c r="B17" s="23">
        <f>SUM(B15:F15)</f>
        <v>-19803231045.01059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-4934335846.791235</v>
      </c>
    </row>
    <row r="5" spans="1:2" x14ac:dyDescent="0.25">
      <c r="A5" t="s">
        <v>56</v>
      </c>
      <c r="B5" s="18">
        <f>IF(Assumptions!$B$33=0,B4,B4-Forecast!F11-Forecast!F10-Forecast!F12)</f>
        <v>3659367806.072479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0.48139534502742837</v>
      </c>
    </row>
    <row r="7" spans="1:2" x14ac:dyDescent="0.25">
      <c r="A7" t="s">
        <v>58</v>
      </c>
      <c r="B7" s="18">
        <f>-MAX(Forecast!F9,0)*B6</f>
        <v>-1761602627.5865245</v>
      </c>
    </row>
    <row r="8" spans="1:2" x14ac:dyDescent="0.25">
      <c r="A8" t="s">
        <v>59</v>
      </c>
      <c r="B8" s="18">
        <f>IF(OR(Assumptions!$B$33=0,Assumptions!B12&lt;=0),B5,MAX(B5+B7,0))</f>
        <v>1897765178.4859543</v>
      </c>
    </row>
    <row r="9" spans="1:2" x14ac:dyDescent="0.25">
      <c r="A9" t="s">
        <v>60</v>
      </c>
      <c r="B9" s="18">
        <f>B8*(1+Assumptions!B12)/(Assumptions!B26-Assumptions!B12)</f>
        <v>72225707731.04749</v>
      </c>
    </row>
    <row r="10" spans="1:2" x14ac:dyDescent="0.25">
      <c r="A10" t="s">
        <v>61</v>
      </c>
      <c r="B10" s="18">
        <f>B9/(1+Assumptions!B26)^(5-0.5*Assumptions!B32)</f>
        <v>57510431136.48473</v>
      </c>
    </row>
    <row r="11" spans="1:2" x14ac:dyDescent="0.25">
      <c r="A11" t="s">
        <v>62</v>
      </c>
      <c r="B11" s="18">
        <f>Forecast!B17+B10</f>
        <v>37707200091.474144</v>
      </c>
    </row>
    <row r="12" spans="1:2" x14ac:dyDescent="0.25">
      <c r="A12" t="s">
        <v>63</v>
      </c>
      <c r="B12" s="18">
        <f>-Assumptions!B30</f>
        <v>-60622000000</v>
      </c>
    </row>
    <row r="13" spans="1:2" x14ac:dyDescent="0.25">
      <c r="A13" t="s">
        <v>64</v>
      </c>
      <c r="B13" s="18">
        <f>B11+B12</f>
        <v>-22914799908.525856</v>
      </c>
    </row>
    <row r="14" spans="1:2" x14ac:dyDescent="0.25">
      <c r="A14" s="19" t="s">
        <v>65</v>
      </c>
      <c r="B14" s="24">
        <f>B13/Assumptions!B31</f>
        <v>-10.406357814952704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10049112069.841553</v>
      </c>
    </row>
    <row r="18" spans="1:2" x14ac:dyDescent="0.25">
      <c r="A18" t="s">
        <v>60</v>
      </c>
      <c r="B18" s="18">
        <f>B17*Assumptions!B13</f>
        <v>95047712060.26541</v>
      </c>
    </row>
    <row r="19" spans="1:2" x14ac:dyDescent="0.25">
      <c r="A19" t="s">
        <v>61</v>
      </c>
      <c r="B19" s="18">
        <f>B18/(1+Assumptions!B26)^(5-0.5*Assumptions!B32)</f>
        <v>75682676859.01216</v>
      </c>
    </row>
    <row r="20" spans="1:2" x14ac:dyDescent="0.25">
      <c r="A20" t="s">
        <v>62</v>
      </c>
      <c r="B20" s="18">
        <f>Forecast!B17+B19</f>
        <v>55879445814.00157</v>
      </c>
    </row>
    <row r="21" spans="1:2" x14ac:dyDescent="0.25">
      <c r="A21" t="s">
        <v>63</v>
      </c>
      <c r="B21" s="18">
        <f>-Assumptions!B30</f>
        <v>-60622000000</v>
      </c>
    </row>
    <row r="22" spans="1:2" x14ac:dyDescent="0.25">
      <c r="A22" t="s">
        <v>64</v>
      </c>
      <c r="B22" s="18">
        <f>B20+B21</f>
        <v>-4742554185.998428</v>
      </c>
    </row>
    <row r="23" spans="1:2" x14ac:dyDescent="0.25">
      <c r="A23" s="19" t="s">
        <v>65</v>
      </c>
      <c r="B23" s="25">
        <f>B22/Assumptions!B31</f>
        <v>-2.1537484950038275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-10.406357814952704</v>
      </c>
    </row>
    <row r="29" spans="1:2" x14ac:dyDescent="0.25">
      <c r="A29" s="19" t="s">
        <v>73</v>
      </c>
      <c r="B29" s="12">
        <f>B28/B26-1</f>
        <v>-1.78836044052672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0.031932</v>
      </c>
      <c r="B5" s="31">
        <v>11.507352064472334</v>
      </c>
      <c r="C5" s="31">
        <v>14.093887323470598</v>
      </c>
      <c r="D5" s="31">
        <v>20.106858066449988</v>
      </c>
      <c r="E5" s="31">
        <v>56.14902426220796</v>
      </c>
      <c r="F5" s="31" t="s">
        <v>76</v>
      </c>
    </row>
    <row r="6" spans="1:6" x14ac:dyDescent="0.25">
      <c r="A6" s="30">
        <v>0.041932</v>
      </c>
      <c r="B6" s="31">
        <v>-3.3038409871664647</v>
      </c>
      <c r="C6" s="31">
        <v>-3.139124913330016</v>
      </c>
      <c r="D6" s="31">
        <v>-2.974408839493567</v>
      </c>
      <c r="E6" s="31">
        <v>-2.8096927656571116</v>
      </c>
      <c r="F6" s="31">
        <v>-2.6449766918206556</v>
      </c>
    </row>
    <row r="7" spans="1:6" x14ac:dyDescent="0.25">
      <c r="A7" s="30">
        <v>0.051932</v>
      </c>
      <c r="B7" s="31">
        <v>-10.660945463550952</v>
      </c>
      <c r="C7" s="31">
        <v>-10.533542595630237</v>
      </c>
      <c r="D7" s="32">
        <v>-10.406139727709531</v>
      </c>
      <c r="E7" s="31">
        <v>-10.278736859788824</v>
      </c>
      <c r="F7" s="31">
        <v>-10.151333991868112</v>
      </c>
    </row>
    <row r="8" spans="1:6" x14ac:dyDescent="0.25">
      <c r="A8" s="30">
        <v>0.061932</v>
      </c>
      <c r="B8" s="31">
        <v>-15.532130489044327</v>
      </c>
      <c r="C8" s="31">
        <v>-15.429752059830848</v>
      </c>
      <c r="D8" s="31">
        <v>-15.327373630617382</v>
      </c>
      <c r="E8" s="31">
        <v>-15.224995201403907</v>
      </c>
      <c r="F8" s="31">
        <v>-15.122616772190433</v>
      </c>
    </row>
    <row r="9" spans="1:6" x14ac:dyDescent="0.25">
      <c r="A9" s="30">
        <v>0.071932</v>
      </c>
      <c r="B9" s="31">
        <v>-18.9598461332378</v>
      </c>
      <c r="C9" s="31">
        <v>-18.875340812336955</v>
      </c>
      <c r="D9" s="31">
        <v>-18.79083549143612</v>
      </c>
      <c r="E9" s="31">
        <v>-18.706330170535274</v>
      </c>
      <c r="F9" s="31">
        <v>-18.62182484963444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24935000000</v>
      </c>
      <c r="C5" s="18">
        <v>24419000000</v>
      </c>
      <c r="D5" s="18">
        <v>24428000000</v>
      </c>
      <c r="E5" s="18">
        <v>21680000000</v>
      </c>
      <c r="F5" s="8" t="s">
        <v>85</v>
      </c>
    </row>
    <row r="6" spans="1:6" x14ac:dyDescent="0.25">
      <c r="A6" t="s">
        <v>44</v>
      </c>
      <c r="B6" s="18">
        <v>4849000000</v>
      </c>
      <c r="C6" s="18">
        <v>4553000000</v>
      </c>
      <c r="D6" s="18">
        <v>2735000000</v>
      </c>
      <c r="E6" s="18">
        <v>2074000000</v>
      </c>
      <c r="F6" s="8" t="s">
        <v>86</v>
      </c>
    </row>
    <row r="7" spans="1:6" x14ac:dyDescent="0.25">
      <c r="A7" t="s">
        <v>87</v>
      </c>
      <c r="B7" s="18">
        <v>4634000000</v>
      </c>
      <c r="C7" s="18">
        <v>4189000000</v>
      </c>
      <c r="D7" s="18">
        <v>3738000000</v>
      </c>
      <c r="E7" s="18">
        <v>3856000000</v>
      </c>
      <c r="F7" s="8" t="s">
        <v>88</v>
      </c>
    </row>
    <row r="8" spans="1:6" x14ac:dyDescent="0.25">
      <c r="A8" t="s">
        <v>89</v>
      </c>
      <c r="B8" s="18">
        <v>11787000000</v>
      </c>
      <c r="C8" s="18">
        <v>10369000000</v>
      </c>
      <c r="D8" s="18">
        <v>9714000000</v>
      </c>
      <c r="E8" s="18">
        <v>9584000000</v>
      </c>
      <c r="F8" s="8" t="s">
        <v>90</v>
      </c>
    </row>
    <row r="9" spans="1:6" x14ac:dyDescent="0.25">
      <c r="A9" t="s">
        <v>91</v>
      </c>
      <c r="B9" s="18">
        <v>-292000000</v>
      </c>
      <c r="C9" s="18">
        <v>-140000000</v>
      </c>
      <c r="D9" s="18">
        <v>650000000</v>
      </c>
      <c r="E9" s="18">
        <v>1847000000</v>
      </c>
      <c r="F9" s="8" t="s">
        <v>92</v>
      </c>
    </row>
    <row r="10" spans="1:6" x14ac:dyDescent="0.25">
      <c r="A10" t="s">
        <v>93</v>
      </c>
      <c r="B10" s="18">
        <v>61335000000</v>
      </c>
      <c r="C10" s="18">
        <v>58343000000</v>
      </c>
      <c r="D10" s="18">
        <v>57733000000</v>
      </c>
      <c r="E10" s="18">
        <v>53539000000</v>
      </c>
      <c r="F10" s="8" t="s">
        <v>94</v>
      </c>
    </row>
    <row r="11" spans="1:6" x14ac:dyDescent="0.25">
      <c r="A11" t="s">
        <v>95</v>
      </c>
      <c r="B11" s="18">
        <v>713000000</v>
      </c>
      <c r="C11" s="18">
        <v>940000000</v>
      </c>
      <c r="D11" s="18">
        <v>635000000</v>
      </c>
      <c r="E11" s="18">
        <v>734000000</v>
      </c>
      <c r="F11" s="8" t="s">
        <v>96</v>
      </c>
    </row>
    <row r="12" spans="1:6" x14ac:dyDescent="0.25">
      <c r="A12" t="s">
        <v>32</v>
      </c>
      <c r="B12" s="34">
        <v>2202000000</v>
      </c>
      <c r="C12" s="34">
        <v>2147000000</v>
      </c>
      <c r="D12" s="34">
        <v>2138000000</v>
      </c>
      <c r="E12" s="34">
        <v>2132000000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