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<sst xmlns="http://schemas.openxmlformats.org/spreadsheetml/2006/main" count="120" uniqueCount="107">
  <si>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Public Service Enterprise Group Incorporated (PEG)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</si>
  <si>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</si>
  <si>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</si>
  <si>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</si>
  <si>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</si>
  <si>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</si>
  <si>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</si>
  <si>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</si>
  <si>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</si>
  <si>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</si>
  <si>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</si>
  <si>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</si>
  <si>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</si>
  <si>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</si>
  <si>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</si>
  <si>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</si>
  <si>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</si>
  <si>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</si>
  <si>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</si>
  <si>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</si>
  <si>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</si>
  <si>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</si>
  <si>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</si>
  <si>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</si>
  <si>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3.1x interest cover. Book interest / average debt was lower, at 4.1%.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</si>
  <si>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</si>
  <si>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</si>
  <si>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</si>
  <si>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</si>
  <si>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</si>
  <si>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</si>
  <si>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</si>
  <si>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</si>
  <si>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</si>
  <si>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</si>
  <si>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</si>
  <si>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</si>
  <si>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</si>
  <si>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</si>
  <si>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</si>
  <si>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</si>
  <si>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</si>
  <si>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</si>
  <si>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</si>
  <si>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</si>
  <si>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</si>
  <si>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</si>
  <si>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</si>
  <si>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</si>
  <si>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</si>
  <si>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</si>
  <si>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</si>
  <si>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</si>
  <si>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</si>
  <si>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</si>
  <si>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</si>
  <si>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</si>
  <si>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</si>
  <si>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</si>
  <si>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</si>
  <si>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</si>
  <si>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</si>
  <si>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</si>
  <si>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</si>
  <si>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</si>
  <si>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</si>
  <si>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</si>
  <si>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</si>
  <si>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</si>
  <si>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</si>
  <si>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</si>
  <si>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</si>
  <si>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</si>
  <si>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</si>
  <si>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</si>
  <si>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</si>
  <si>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</si>
  <si>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</si>
  <si>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</si>
  <si>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</si>
  <si>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</si>
  <si>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</si>
  <si>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</si>
  <si>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</si>
  <si>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</si>
  <si>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</si>
  <si>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</si>
  <si>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</si>
  <si>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</si>
  <si>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</si>
  <si>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</si>
  <si>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</si>
  <si>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</si>
  <si>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</si>
  <si>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</si>
  <si>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</si>
  <si>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</si>
  <si>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</si>
  <si>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</si>
  <si>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</si>
  <si>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</si>
  <si>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</si>
  <si>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</si>
  <si>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</si>
  <si>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</si>
  <si>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29.7% of revenue against depreciation of 12.6%.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</si>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</sst>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0.055549186390532634</v>
      </c>
    </row>
    <row r="7" spans="1:2" x14ac:dyDescent="0.25">
      <c r="A7" t="s">
        <v>4</v>
      </c>
      <c r="B7" s="5">
        <v>0.2380555165221114</v>
      </c>
    </row>
    <row r="8" spans="1:2" x14ac:dyDescent="0.25">
      <c r="A8" t="s">
        <v>5</v>
      </c>
      <c r="B8" s="5">
        <v>0.11078348778433024</v>
      </c>
    </row>
    <row r="9" spans="1:2" x14ac:dyDescent="0.25">
      <c r="A9" t="s">
        <v>6</v>
      </c>
      <c r="B9" s="5">
        <v>0.1255196481656917</v>
      </c>
    </row>
    <row r="10" spans="1:3" x14ac:dyDescent="0.25">
      <c r="A10" t="s">
        <v>7</v>
      </c>
      <c r="B10" s="5">
        <v>0.2969919110149097</v>
      </c>
      <c r="C10" s="6" t="s">
        <v>8</v>
      </c>
    </row>
    <row r="11" spans="1:2" x14ac:dyDescent="0.25">
      <c r="A11" t="s">
        <v>9</v>
      </c>
      <c r="B11" s="5">
        <v>0.14087253667316463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13.763825841856274</v>
      </c>
    </row>
    <row r="14" spans="1:3" x14ac:dyDescent="0.25">
      <c r="A14" t="s">
        <v>12</v>
      </c>
      <c r="B14" s="5">
        <v>0.0672444725359117</v>
      </c>
      <c r="C14" s="6" t="s">
        <v>13</v>
      </c>
    </row>
    <row r="15" spans="1:3" x14ac:dyDescent="0.25">
      <c r="A15" t="s">
        <v>14</v>
      </c>
      <c r="B15" s="5">
        <v>0.1255196481656917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0.67706</v>
      </c>
      <c r="C19" s="6" t="s">
        <v>21</v>
      </c>
    </row>
    <row r="20" spans="1:2" x14ac:dyDescent="0.25">
      <c r="A20" t="s">
        <v>22</v>
      </c>
      <c r="B20" s="9">
        <f>B17+B19*B18</f>
        <v>0.077579638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37027622912</v>
      </c>
    </row>
    <row r="23" spans="1:2" x14ac:dyDescent="0.25">
      <c r="A23" t="s">
        <v>26</v>
      </c>
      <c r="B23" s="10">
        <v>24202000000</v>
      </c>
    </row>
    <row r="24" spans="1:2" x14ac:dyDescent="0.25">
      <c r="A24" t="s">
        <v>27</v>
      </c>
      <c r="B24" s="9">
        <f>B22/(B22+B23)</f>
        <v>0.6047338061385186</v>
      </c>
    </row>
    <row r="25" spans="1:2" x14ac:dyDescent="0.25">
      <c r="A25" t="s">
        <v>28</v>
      </c>
      <c r="B25" s="9">
        <f>1-B24</f>
        <v>0.39526619386148143</v>
      </c>
    </row>
    <row r="26" spans="1:2" x14ac:dyDescent="0.25">
      <c r="A26" t="s">
        <v>29</v>
      </c>
      <c r="B26" s="11">
        <f>B24*B20+B25*B21*(1-B8)</f>
        <v>0.0672444725359117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12168000000</v>
      </c>
      <c r="C29" s="6" t="s">
        <v>32</v>
      </c>
    </row>
    <row r="30" spans="1:2" x14ac:dyDescent="0.25">
      <c r="A30" t="s">
        <v>33</v>
      </c>
      <c r="B30" s="10">
        <v>24070000000</v>
      </c>
    </row>
    <row r="31" spans="1:2" x14ac:dyDescent="0.25">
      <c r="A31" t="s">
        <v>34</v>
      </c>
      <c r="B31" s="12">
        <v>501000000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0.055549186390532634</v>
      </c>
      <c r="C5" s="5">
        <v>0.03483774524488137</v>
      </c>
      <c r="D5" s="5">
        <v>0.0336080270892712</v>
      </c>
      <c r="E5" s="5">
        <v>0.032378308933661025</v>
      </c>
      <c r="F5" s="5">
        <v>0.031148590778050857</v>
      </c>
      <c r="G5" s="5">
        <v>0.029918872622440685</v>
      </c>
      <c r="H5" s="5">
        <v>0.028689154466830513</v>
      </c>
      <c r="I5" s="5">
        <v>0.027459436311220345</v>
      </c>
      <c r="J5" s="5">
        <v>0.026229718155610173</v>
      </c>
      <c r="K5" s="5">
        <v>0.025</v>
      </c>
    </row>
    <row r="6" spans="1:11" x14ac:dyDescent="0.25">
      <c r="A6" t="s">
        <v>50</v>
      </c>
      <c r="B6" s="18">
        <f>Assumptions!B29*(1+B5)</f>
        <v>12843922500.000002</v>
      </c>
      <c r="C6" s="18">
        <f>B6*(1+C5)</f>
        <v>13291375800.000002</v>
      </c>
      <c r="D6" s="18">
        <f>C6*(1+D5)</f>
        <v>13738072717.940084</v>
      </c>
      <c r="E6" s="18">
        <f>D6*(1+E5)</f>
        <v>14182888280.55465</v>
      </c>
      <c r="F6" s="18">
        <f>E6*(1+F5)</f>
        <v>14624665263.65646</v>
      </c>
      <c r="G6" s="18">
        <f>F6*(1+G5)</f>
        <v>15062218760.82563</v>
      </c>
      <c r="H6" s="18">
        <f>G6*(1+H5)</f>
        <v>15494341081.468147</v>
      </c>
      <c r="I6" s="18">
        <f>H6*(1+I5)</f>
        <v>15919806953.579048</v>
      </c>
      <c r="J6" s="18">
        <f>I6*(1+J5)</f>
        <v>16337379003.063148</v>
      </c>
      <c r="K6" s="18">
        <f>J6*(1+K5)</f>
        <v>16745813478.139727</v>
      </c>
    </row>
    <row r="7" spans="1:11" x14ac:dyDescent="0.25">
      <c r="A7" t="s">
        <v>4</v>
      </c>
      <c r="B7" s="9">
        <f>Assumptions!B7</f>
        <v>0.2380555165221114</v>
      </c>
      <c r="C7" s="9">
        <f>Assumptions!B7</f>
        <v>0.2380555165221114</v>
      </c>
      <c r="D7" s="9">
        <f>Assumptions!B7</f>
        <v>0.2380555165221114</v>
      </c>
      <c r="E7" s="9">
        <f>Assumptions!B7</f>
        <v>0.2380555165221114</v>
      </c>
      <c r="F7" s="9">
        <f>Assumptions!B7</f>
        <v>0.2380555165221114</v>
      </c>
      <c r="G7" s="9">
        <f>Assumptions!B7</f>
        <v>0.2380555165221114</v>
      </c>
      <c r="H7" s="9">
        <f>Assumptions!B7</f>
        <v>0.2380555165221114</v>
      </c>
      <c r="I7" s="9">
        <f>Assumptions!B7</f>
        <v>0.2380555165221114</v>
      </c>
      <c r="J7" s="9">
        <f>Assumptions!B7</f>
        <v>0.2380555165221114</v>
      </c>
      <c r="K7" s="9">
        <f>Assumptions!B7</f>
        <v>0.2380555165221114</v>
      </c>
    </row>
    <row r="8" spans="1:11" x14ac:dyDescent="0.25">
      <c r="A8" t="s">
        <v>51</v>
      </c>
      <c r="B8" s="18">
        <f>B6*B7</f>
        <v>3057566604.907469</v>
      </c>
      <c r="C8" s="18">
        <f>C6*C7</f>
        <v>3164085331.3584924</v>
      </c>
      <c r="D8" s="18">
        <f>D6*D7</f>
        <v>3270423996.8875537</v>
      </c>
      <c r="E8" s="18">
        <f>E6*E7</f>
        <v>3376314795.4028378</v>
      </c>
      <c r="F8" s="18">
        <f>F6*F7</f>
        <v>3481482243.302719</v>
      </c>
      <c r="G8" s="18">
        <f>G6*G7</f>
        <v>3585644267.077382</v>
      </c>
      <c r="H8" s="18">
        <f>H6*H7</f>
        <v>3688513369.31867</v>
      </c>
      <c r="I8" s="18">
        <f>I6*I7</f>
        <v>3789797867.266561</v>
      </c>
      <c r="J8" s="18">
        <f>J6*J7</f>
        <v>3889203197.191695</v>
      </c>
      <c r="K8" s="18">
        <f>K6*K7</f>
        <v>3986433277.1214876</v>
      </c>
    </row>
    <row r="9" spans="1:11" x14ac:dyDescent="0.25">
      <c r="A9" t="s">
        <v>52</v>
      </c>
      <c r="B9" s="18">
        <f>B8*(1-Assumptions!B8)</f>
        <v>2718838712.282926</v>
      </c>
      <c r="C9" s="18">
        <f>C8*(1-Assumptions!B8)</f>
        <v>2813556922.7033606</v>
      </c>
      <c r="D9" s="18">
        <f>D8*(1-Assumptions!B8)</f>
        <v>2908115019.9787807</v>
      </c>
      <c r="E9" s="18">
        <f>E8*(1-Assumptions!B8)</f>
        <v>3002274866.510274</v>
      </c>
      <c r="F9" s="18">
        <f>F8*(1-Assumptions!B8)</f>
        <v>3095791497.7304296</v>
      </c>
      <c r="G9" s="18">
        <f>G8*(1-Assumptions!B8)</f>
        <v>3188414089.2166615</v>
      </c>
      <c r="H9" s="18">
        <f>H8*(1-Assumptions!B8)</f>
        <v>3279886993.5264163</v>
      </c>
      <c r="I9" s="18">
        <f>I8*(1-Assumptions!B8)</f>
        <v>3369950841.5331554</v>
      </c>
      <c r="J9" s="18">
        <f>J8*(1-Assumptions!B8)</f>
        <v>3458343702.304831</v>
      </c>
      <c r="K9" s="18">
        <f>K8*(1-Assumptions!B8)</f>
        <v>3544802294.8624516</v>
      </c>
    </row>
    <row r="10" spans="1:11" x14ac:dyDescent="0.25">
      <c r="A10" t="s">
        <v>53</v>
      </c>
      <c r="B10" s="18">
        <f>B6*Assumptions!B9</f>
        <v>1612164633.2674115</v>
      </c>
      <c r="C10" s="18">
        <f>C6*Assumptions!B9</f>
        <v>1668328814.0539892</v>
      </c>
      <c r="D10" s="18">
        <f>D6*Assumptions!B9</f>
        <v>1724398054.030527</v>
      </c>
      <c r="E10" s="18">
        <f>E6*Assumptions!B9</f>
        <v>1780231146.9485316</v>
      </c>
      <c r="F10" s="18">
        <f>F6*Assumptions!B9</f>
        <v>1835682838.4351716</v>
      </c>
      <c r="G10" s="18">
        <f>G6*Assumptions!B9</f>
        <v>1890604399.4535139</v>
      </c>
      <c r="H10" s="18">
        <f>H6*Assumptions!B9</f>
        <v>1944844241.1051047</v>
      </c>
      <c r="I10" s="18">
        <f>I6*Assumptions!B9</f>
        <v>1998248567.6789742</v>
      </c>
      <c r="J10" s="18">
        <f>J6*Assumptions!B9</f>
        <v>2050662064.4140453</v>
      </c>
      <c r="K10" s="18">
        <f>K6*Assumptions!B9</f>
        <v>2101928616.0243964</v>
      </c>
    </row>
    <row r="11" spans="1:11" x14ac:dyDescent="0.25">
      <c r="A11" t="s">
        <v>54</v>
      </c>
      <c r="B11" s="18">
        <f>-B6*B19</f>
        <v>-3814541088.202397</v>
      </c>
      <c r="C11" s="18">
        <f>-C6*C19</f>
        <v>-3810421724.618755</v>
      </c>
      <c r="D11" s="18">
        <f>-D6*D19</f>
        <v>-3796868492.159758</v>
      </c>
      <c r="E11" s="18">
        <f>-E6*E19</f>
        <v>-3773605462.6926403</v>
      </c>
      <c r="F11" s="18">
        <f>-F6*F19</f>
        <v>-3740394845.1415944</v>
      </c>
      <c r="G11" s="18">
        <f>-G6*G19</f>
        <v>-3697039769.1132164</v>
      </c>
      <c r="H11" s="18">
        <f>-H6*H19</f>
        <v>-3643386863.4027753</v>
      </c>
      <c r="I11" s="18">
        <f>-I6*I19</f>
        <v>-3579328600.06946</v>
      </c>
      <c r="J11" s="18">
        <f>-J6*J19</f>
        <v>-3504805376.055741</v>
      </c>
      <c r="K11" s="18">
        <f>-K6*K19</f>
        <v>-3419807305.967782</v>
      </c>
    </row>
    <row r="12" spans="1:11" x14ac:dyDescent="0.25">
      <c r="A12" t="s">
        <v>55</v>
      </c>
      <c r="B12" s="18">
        <f>-(B6-Assumptions!B29)*Assumptions!B11</f>
        <v>-95218917.16946739</v>
      </c>
      <c r="C12" s="18">
        <f>-(C6-B6)*Assumptions!B11</f>
        <v>-63033881.413778536</v>
      </c>
      <c r="D12" s="18">
        <f>-(D6-C6)*Assumptions!B11</f>
        <v>-62927327.95430389</v>
      </c>
      <c r="E12" s="18">
        <f>-(E6-D6)*Assumptions!B11</f>
        <v>-62662296.65721465</v>
      </c>
      <c r="F12" s="18">
        <f>-(F6-E6)*Assumptions!B11</f>
        <v>-62234244.25336982</v>
      </c>
      <c r="G12" s="18">
        <f>-(G6-F6)*Assumptions!B11</f>
        <v>-61639271.07643539</v>
      </c>
      <c r="H12" s="18">
        <f>-(H6-G6)*Assumptions!B11</f>
        <v>-60874167.462005995</v>
      </c>
      <c r="I12" s="18">
        <f>-(I6-H6)*Assumptions!B11</f>
        <v>-59936456.67212286</v>
      </c>
      <c r="J12" s="18">
        <f>-(J6-I6)*Assumptions!B11</f>
        <v>-58824433.85463744</v>
      </c>
      <c r="K12" s="18">
        <f>-(K6-J6)*Assumptions!B11</f>
        <v>-57537200.56881</v>
      </c>
    </row>
    <row r="13" spans="1:11" x14ac:dyDescent="0.25">
      <c r="A13" s="19" t="s">
        <v>56</v>
      </c>
      <c r="B13" s="20">
        <f>B9+B10+B11+B12</f>
        <v>421243340.17847353</v>
      </c>
      <c r="C13" s="20">
        <f>C9+C10+C11+C12</f>
        <v>608430130.7248166</v>
      </c>
      <c r="D13" s="20">
        <f>D9+D10+D11+D12</f>
        <v>772717253.8952459</v>
      </c>
      <c r="E13" s="20">
        <f>E9+E10+E11+E12</f>
        <v>946238254.1089501</v>
      </c>
      <c r="F13" s="20">
        <f>F9+F10+F11+F12</f>
        <v>1128845246.7706375</v>
      </c>
      <c r="G13" s="20">
        <f>G9+G10+G11+G12</f>
        <v>1320339448.4805238</v>
      </c>
      <c r="H13" s="20">
        <f>H9+H10+H11+H12</f>
        <v>1520470203.7667398</v>
      </c>
      <c r="I13" s="20">
        <f>I9+I10+I11+I12</f>
        <v>1728934352.4705467</v>
      </c>
      <c r="J13" s="20">
        <f>J9+J10+J11+J12</f>
        <v>1945375956.8084977</v>
      </c>
      <c r="K13" s="20">
        <f>K9+K10+K11+K12</f>
        <v>2169386404.3502564</v>
      </c>
    </row>
    <row r="14" spans="1:11" x14ac:dyDescent="0.25">
      <c r="A14" t="s">
        <v>57</v>
      </c>
      <c r="B14" s="21">
        <f>1/(1+Assumptions!$B$26)^(1-0.5*Assumptions!$B$32)</f>
        <v>0.9679836970492587</v>
      </c>
      <c r="C14" s="21">
        <f>1/(1+Assumptions!$B$26)^(2-0.5*Assumptions!$B$32)</f>
        <v>0.9069934040034927</v>
      </c>
      <c r="D14" s="21">
        <f>1/(1+Assumptions!$B$26)^(3-0.5*Assumptions!$B$32)</f>
        <v>0.8498459606432613</v>
      </c>
      <c r="E14" s="21">
        <f>1/(1+Assumptions!$B$26)^(4-0.5*Assumptions!$B$32)</f>
        <v>0.796299238377798</v>
      </c>
      <c r="F14" s="21">
        <f>1/(1+Assumptions!$B$26)^(5-0.5*Assumptions!$B$32)</f>
        <v>0.7461263645485906</v>
      </c>
      <c r="G14" s="21">
        <f>1/(1+Assumptions!$B$26)^(6-0.5*Assumptions!$B$32)</f>
        <v>0.6991147611902803</v>
      </c>
      <c r="H14" s="21">
        <f>1/(1+Assumptions!$B$26)^(7-0.5*Assumptions!$B$32)</f>
        <v>0.6550652443568928</v>
      </c>
      <c r="I14" s="21">
        <f>1/(1+Assumptions!$B$26)^(8-0.5*Assumptions!$B$32)</f>
        <v>0.6137911801973286</v>
      </c>
      <c r="J14" s="21">
        <f>1/(1+Assumptions!$B$26)^(9-0.5*Assumptions!$B$32)</f>
        <v>0.5751176942044787</v>
      </c>
      <c r="K14" s="21">
        <f>1/(1+Assumptions!$B$26)^(10-0.5*Assumptions!$B$32)</f>
        <v>0.5388809302876257</v>
      </c>
    </row>
    <row r="15" spans="1:11" x14ac:dyDescent="0.25">
      <c r="A15" s="19" t="s">
        <v>58</v>
      </c>
      <c r="B15" s="20">
        <f>B13*B14</f>
        <v>407756685.78333735</v>
      </c>
      <c r="C15" s="20">
        <f>C13*C14</f>
        <v>551842115.3643914</v>
      </c>
      <c r="D15" s="20">
        <f>D13*D14</f>
        <v>656690636.9422282</v>
      </c>
      <c r="E15" s="20">
        <f>E13*E14</f>
        <v>753488801.0708944</v>
      </c>
      <c r="F15" s="20">
        <f>F13*F14</f>
        <v>842261200.1109324</v>
      </c>
      <c r="G15" s="20">
        <f>G13*G14</f>
        <v>923068798.2145678</v>
      </c>
      <c r="H15" s="20">
        <f>H13*H14</f>
        <v>996007185.5678341</v>
      </c>
      <c r="I15" s="20">
        <f>I13*I14</f>
        <v>1061204656.6866009</v>
      </c>
      <c r="J15" s="20">
        <f>J13*J14</f>
        <v>1118820134.6405346</v>
      </c>
      <c r="K15" s="20">
        <f>K13*K14</f>
        <v>1169040963.7295935</v>
      </c>
    </row>
    <row r="17" spans="1:2" x14ac:dyDescent="0.25">
      <c r="A17" s="22" t="s">
        <v>59</v>
      </c>
      <c r="B17" s="23">
        <f>SUM(B15:K15)</f>
        <v>8480181178.110914</v>
      </c>
    </row>
    <row r="19" spans="1:11" x14ac:dyDescent="0.25">
      <c r="A19" t="s">
        <v>7</v>
      </c>
      <c r="B19" s="9">
        <f>Assumptions!$B$10+($B$20-Assumptions!$B$10)*0/9</f>
        <v>0.2969919110149097</v>
      </c>
      <c r="C19" s="9">
        <f>Assumptions!$B$10+($B$20-Assumptions!$B$10)*1/9</f>
        <v>0.28668377013452245</v>
      </c>
      <c r="D19" s="9">
        <f>Assumptions!$B$10+($B$20-Assumptions!$B$10)*2/9</f>
        <v>0.27637562925413517</v>
      </c>
      <c r="E19" s="9">
        <f>Assumptions!$B$10+($B$20-Assumptions!$B$10)*3/9</f>
        <v>0.26606748837374794</v>
      </c>
      <c r="F19" s="9">
        <f>Assumptions!$B$10+($B$20-Assumptions!$B$10)*4/9</f>
        <v>0.2557593474933607</v>
      </c>
      <c r="G19" s="9">
        <f>Assumptions!$B$10+($B$20-Assumptions!$B$10)*5/9</f>
        <v>0.24545120661297343</v>
      </c>
      <c r="H19" s="9">
        <f>Assumptions!$B$10+($B$20-Assumptions!$B$10)*6/9</f>
        <v>0.2351430657325862</v>
      </c>
      <c r="I19" s="9">
        <f>Assumptions!$B$10+($B$20-Assumptions!$B$10)*7/9</f>
        <v>0.22483492485219897</v>
      </c>
      <c r="J19" s="9">
        <f>Assumptions!$B$10+($B$20-Assumptions!$B$10)*8/9</f>
        <v>0.2145267839718117</v>
      </c>
      <c r="K19" s="9">
        <f>Assumptions!$B$10+($B$20-Assumptions!$B$10)*9/9</f>
        <v>0.20421864309142446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0.20421864309142446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2169386404.3502564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3544802294.8624516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0.371777769342288</v>
      </c>
    </row>
    <row r="7" spans="1:2" x14ac:dyDescent="0.25">
      <c r="A7" t="s">
        <v>66</v>
      </c>
      <c r="B7" s="18">
        <f>-MAX(B5,0)*B6</f>
        <v>-1317878689.9433858</v>
      </c>
    </row>
    <row r="8" spans="1:2" x14ac:dyDescent="0.25">
      <c r="A8" t="s">
        <v>67</v>
      </c>
      <c r="B8" s="18">
        <f>IF(OR(Assumptions!$B$33=0,Assumptions!B12&lt;=0),B5,MAX(B5+B7,0))</f>
        <v>2226923604.9190655</v>
      </c>
    </row>
    <row r="9" spans="1:2" x14ac:dyDescent="0.25">
      <c r="A9" t="s">
        <v>68</v>
      </c>
      <c r="B9" s="18">
        <f>B8*(1+Assumptions!B12)/(Assumptions!B26-Assumptions!B12)</f>
        <v>54033026287.678795</v>
      </c>
    </row>
    <row r="10" spans="1:2" x14ac:dyDescent="0.25">
      <c r="A10" t="s">
        <v>69</v>
      </c>
      <c r="B10" s="18">
        <f>B9/(1+Assumptions!B26)^(10-0.5*Assumptions!B32)</f>
        <v>29117367472.160084</v>
      </c>
    </row>
    <row r="11" spans="1:2" x14ac:dyDescent="0.25">
      <c r="A11" t="s">
        <v>70</v>
      </c>
      <c r="B11" s="18">
        <f>Forecast!B17+B10</f>
        <v>37597548650.270996</v>
      </c>
    </row>
    <row r="12" spans="1:2" x14ac:dyDescent="0.25">
      <c r="A12" t="s">
        <v>71</v>
      </c>
      <c r="B12" s="18">
        <f>-Assumptions!B30</f>
        <v>-24070000000</v>
      </c>
    </row>
    <row r="13" spans="1:2" x14ac:dyDescent="0.25">
      <c r="A13" t="s">
        <v>72</v>
      </c>
      <c r="B13" s="18">
        <f>B11+B12</f>
        <v>13527548650.270996</v>
      </c>
    </row>
    <row r="14" spans="1:2" x14ac:dyDescent="0.25">
      <c r="A14" s="19" t="s">
        <v>73</v>
      </c>
      <c r="B14" s="24">
        <f>B13/Assumptions!B31</f>
        <v>27.001095110321348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6088361893.145884</v>
      </c>
    </row>
    <row r="18" spans="1:2" x14ac:dyDescent="0.25">
      <c r="A18" t="s">
        <v>68</v>
      </c>
      <c r="B18" s="18">
        <f>B17*Assumptions!B13</f>
        <v>83799152759.4543</v>
      </c>
    </row>
    <row r="19" spans="1:2" x14ac:dyDescent="0.25">
      <c r="A19" t="s">
        <v>69</v>
      </c>
      <c r="B19" s="18">
        <f>B18/(1+Assumptions!B26)^(10-0.5*Assumptions!B32)</f>
        <v>45157765396.32959</v>
      </c>
    </row>
    <row r="20" spans="1:2" x14ac:dyDescent="0.25">
      <c r="A20" t="s">
        <v>70</v>
      </c>
      <c r="B20" s="18">
        <f>Forecast!B17+B19</f>
        <v>53637946574.440506</v>
      </c>
    </row>
    <row r="21" spans="1:2" x14ac:dyDescent="0.25">
      <c r="A21" t="s">
        <v>71</v>
      </c>
      <c r="B21" s="18">
        <f>-Assumptions!B30</f>
        <v>-24070000000</v>
      </c>
    </row>
    <row r="22" spans="1:2" x14ac:dyDescent="0.25">
      <c r="A22" t="s">
        <v>72</v>
      </c>
      <c r="B22" s="18">
        <f>B20+B21</f>
        <v>29567946574.440506</v>
      </c>
    </row>
    <row r="23" spans="1:2" x14ac:dyDescent="0.25">
      <c r="A23" s="19" t="s">
        <v>73</v>
      </c>
      <c r="B23" s="25">
        <f>B22/Assumptions!B31</f>
        <v>59.01785743401299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74.29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27.001095110321348</v>
      </c>
    </row>
    <row r="29" spans="1:2" x14ac:dyDescent="0.25">
      <c r="A29" s="19" t="s">
        <v>81</v>
      </c>
      <c r="B29" s="11">
        <f>B28/B26-1</f>
        <v>-0.6365446882444293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0.047244</v>
      </c>
      <c r="B5" s="31">
        <v>80.9881255698141</v>
      </c>
      <c r="C5" s="31">
        <v>84.84401231792202</v>
      </c>
      <c r="D5" s="31">
        <v>91.17287777275058</v>
      </c>
      <c r="E5" s="31">
        <v>102.12588643214316</v>
      </c>
      <c r="F5" s="31">
        <v>123.36802915435368</v>
      </c>
    </row>
    <row r="6" spans="1:6" x14ac:dyDescent="0.25">
      <c r="A6" s="30">
        <v>0.057244</v>
      </c>
      <c r="B6" s="31">
        <v>47.31871842541574</v>
      </c>
      <c r="C6" s="31">
        <v>46.23344965057073</v>
      </c>
      <c r="D6" s="31">
        <v>45.293133794936004</v>
      </c>
      <c r="E6" s="31">
        <v>44.57757902868323</v>
      </c>
      <c r="F6" s="31">
        <v>44.238350553247734</v>
      </c>
    </row>
    <row r="7" spans="1:6" x14ac:dyDescent="0.25">
      <c r="A7" s="30">
        <v>0.067244</v>
      </c>
      <c r="B7" s="31">
        <v>29.585279382584822</v>
      </c>
      <c r="C7" s="31">
        <v>28.29350776053618</v>
      </c>
      <c r="D7" s="32">
        <v>27.00173613848749</v>
      </c>
      <c r="E7" s="31">
        <v>25.70996451643885</v>
      </c>
      <c r="F7" s="31">
        <v>24.41819289439019</v>
      </c>
    </row>
    <row r="8" spans="1:6" x14ac:dyDescent="0.25">
      <c r="A8" s="30">
        <v>0.077244</v>
      </c>
      <c r="B8" s="31">
        <v>17.3860580430125</v>
      </c>
      <c r="C8" s="31">
        <v>16.322758134654077</v>
      </c>
      <c r="D8" s="31">
        <v>15.259458226295646</v>
      </c>
      <c r="E8" s="31">
        <v>14.196158317937208</v>
      </c>
      <c r="F8" s="31">
        <v>13.132858409578777</v>
      </c>
    </row>
    <row r="9" spans="1:6" x14ac:dyDescent="0.25">
      <c r="A9" s="30">
        <v>0.087244</v>
      </c>
      <c r="B9" s="31">
        <v>8.103876323133024</v>
      </c>
      <c r="C9" s="31">
        <v>7.212948586401796</v>
      </c>
      <c r="D9" s="31">
        <v>6.3220208496705625</v>
      </c>
      <c r="E9" s="31">
        <v>5.431093112939336</v>
      </c>
      <c r="F9" s="31">
        <v>4.540165376208102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12168000000</v>
      </c>
      <c r="C5" s="18">
        <v>10290000000</v>
      </c>
      <c r="D5" s="18">
        <v>11237000000</v>
      </c>
      <c r="E5" s="18">
        <v>9800000000</v>
      </c>
      <c r="F5" s="6" t="s">
        <v>91</v>
      </c>
    </row>
    <row r="6" spans="1:6" x14ac:dyDescent="0.25">
      <c r="A6" t="s">
        <v>51</v>
      </c>
      <c r="B6" s="18">
        <v>2980000000</v>
      </c>
      <c r="C6" s="18">
        <v>2353000000</v>
      </c>
      <c r="D6" s="18">
        <v>3685000000</v>
      </c>
      <c r="E6" s="18">
        <v>1477000000</v>
      </c>
      <c r="F6" s="6" t="s">
        <v>92</v>
      </c>
    </row>
    <row r="7" spans="1:6" x14ac:dyDescent="0.25">
      <c r="A7" t="s">
        <v>93</v>
      </c>
      <c r="B7" s="18">
        <v>1459000000</v>
      </c>
      <c r="C7" s="18">
        <v>1373000000</v>
      </c>
      <c r="D7" s="18">
        <v>1324000000</v>
      </c>
      <c r="E7" s="18">
        <v>1283000000</v>
      </c>
      <c r="F7" s="6" t="s">
        <v>94</v>
      </c>
    </row>
    <row r="8" spans="1:6" x14ac:dyDescent="0.25">
      <c r="A8" t="s">
        <v>95</v>
      </c>
      <c r="B8" s="18">
        <v>3272000000</v>
      </c>
      <c r="C8" s="18">
        <v>3380000000</v>
      </c>
      <c r="D8" s="18">
        <v>3325000000</v>
      </c>
      <c r="E8" s="18">
        <v>2888000000</v>
      </c>
      <c r="F8" s="6" t="s">
        <v>96</v>
      </c>
    </row>
    <row r="9" spans="1:6" x14ac:dyDescent="0.25">
      <c r="A9" t="s">
        <v>97</v>
      </c>
      <c r="B9" s="18">
        <v>-193000000</v>
      </c>
      <c r="C9" s="18">
        <v>604000000</v>
      </c>
      <c r="D9" s="18">
        <v>-1307000000</v>
      </c>
      <c r="E9" s="18">
        <v>847000000</v>
      </c>
      <c r="F9" s="6" t="s">
        <v>98</v>
      </c>
    </row>
    <row r="10" spans="1:6" x14ac:dyDescent="0.25">
      <c r="A10" t="s">
        <v>99</v>
      </c>
      <c r="B10" s="18">
        <v>24202000000</v>
      </c>
      <c r="C10" s="18">
        <v>22860000000</v>
      </c>
      <c r="D10" s="18">
        <v>173000000</v>
      </c>
      <c r="E10" s="18">
        <v>20439000000</v>
      </c>
      <c r="F10" s="6" t="s">
        <v>100</v>
      </c>
    </row>
    <row r="11" spans="1:6" x14ac:dyDescent="0.25">
      <c r="A11" t="s">
        <v>101</v>
      </c>
      <c r="B11" s="18">
        <v>132000000</v>
      </c>
      <c r="C11" s="18">
        <v>125000000</v>
      </c>
      <c r="D11" s="18">
        <v>54000000</v>
      </c>
      <c r="E11" s="18">
        <v>465000000</v>
      </c>
      <c r="F11" s="6" t="s">
        <v>102</v>
      </c>
    </row>
    <row r="12" spans="1:6" x14ac:dyDescent="0.25">
      <c r="A12" t="s">
        <v>34</v>
      </c>
      <c r="B12" s="34">
        <v>501000000</v>
      </c>
      <c r="C12" s="34">
        <v>500000000</v>
      </c>
      <c r="D12" s="34">
        <v>500000000</v>
      </c>
      <c r="E12" s="34">
        <v>501000000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