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<sst xmlns="http://schemas.openxmlformats.org/spreadsheetml/2006/main" count="112" uniqueCount="100">
  <si>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Public Service Enterprise Group Incorporated (PEG)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</si>
  <si>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</si>
  <si>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</si>
  <si>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</si>
  <si>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</si>
  <si>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</si>
  <si>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</si>
  <si>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</si>
  <si>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</si>
  <si>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</si>
  <si>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</si>
  <si>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</si>
  <si>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</si>
  <si>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</si>
  <si>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</si>
  <si>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</si>
  <si>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</si>
  <si>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</si>
  <si>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</si>
  <si>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</si>
  <si>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</si>
  <si>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</si>
  <si>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</si>
  <si>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</si>
  <si>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</si>
  <si>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</si>
  <si>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</si>
  <si>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</si>
  <si>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</si>
  <si>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</si>
  <si>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</si>
  <si>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</si>
  <si>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</si>
  <si>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</si>
  <si>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</si>
  <si>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</si>
  <si>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</si>
  <si>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</si>
  <si>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</si>
  <si>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</si>
  <si>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</si>
  <si>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</si>
  <si>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</si>
  <si>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</si>
  <si>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</si>
  <si>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</si>
  <si>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</si>
  <si>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</si>
  <si>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</si>
  <si>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</si>
  <si>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</si>
  <si>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</si>
  <si>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</si>
  <si>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</si>
  <si>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</si>
  <si>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</si>
  <si>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</si>
  <si>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</si>
  <si>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</si>
  <si>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</si>
  <si>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</si>
  <si>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</si>
  <si>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</si>
  <si>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</si>
  <si>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</si>
  <si>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</si>
  <si>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</si>
  <si>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</si>
  <si>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</si>
  <si>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</si>
  <si>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</si>
  <si>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</si>
  <si>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</si>
  <si>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</si>
  <si>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</si>
  <si>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</si>
  <si>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</si>
  <si>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</si>
  <si>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</si>
  <si>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</si>
  <si>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</si>
  <si>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</si>
  <si>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</si>
  <si>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</si>
  <si>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</si>
  <si>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</si>
  <si>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</si>
  <si>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</si>
  <si>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</si>
  <si>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</si>
  <si>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</si>
  <si>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</si>
  <si>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</si>
  <si>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</si>
  <si>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</si>
  <si>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</si>
  <si>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</si>
  <si>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</si>
  <si>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29.7% of revenue against depreciation of 12.6%. A perpetuity has to be a steady state, so the terminal year uses maintenance capex at depreciation and then charges the reinvestment terminal growth requires (g/ROIC of NOPAT). The bridge is shown under Terminal Value.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</si>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</sst>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0.07480837487525593</v>
      </c>
    </row>
    <row r="7" spans="1:2" x14ac:dyDescent="0.25">
      <c r="A7" t="s">
        <v>5</v>
      </c>
      <c r="B7" s="6">
        <v>0.2380555165221114</v>
      </c>
    </row>
    <row r="8" spans="1:2" x14ac:dyDescent="0.25">
      <c r="A8" t="s">
        <v>6</v>
      </c>
      <c r="B8" s="6">
        <v>0.11078348778433024</v>
      </c>
    </row>
    <row r="9" spans="1:2" x14ac:dyDescent="0.25">
      <c r="A9" t="s">
        <v>7</v>
      </c>
      <c r="B9" s="6">
        <v>0.1255196481656917</v>
      </c>
    </row>
    <row r="10" spans="1:2" x14ac:dyDescent="0.25">
      <c r="A10" t="s">
        <v>8</v>
      </c>
      <c r="B10" s="6">
        <v>0.2969919110149097</v>
      </c>
    </row>
    <row r="11" spans="1:2" x14ac:dyDescent="0.25">
      <c r="A11" t="s">
        <v>9</v>
      </c>
      <c r="B11" s="6">
        <v>-0.6378035902851109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13.256311234061725</v>
      </c>
    </row>
    <row r="14" spans="1:3" x14ac:dyDescent="0.25">
      <c r="A14" t="s">
        <v>12</v>
      </c>
      <c r="B14" s="6">
        <v>0.06968655929738293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0.6777299999999999</v>
      </c>
      <c r="C19" s="8" t="s">
        <v>19</v>
      </c>
    </row>
    <row r="20" spans="1:2" x14ac:dyDescent="0.25">
      <c r="A20" t="s">
        <v>20</v>
      </c>
      <c r="B20" s="10">
        <f>B17+B19*B18</f>
        <v>0.08725515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34774765568</v>
      </c>
    </row>
    <row r="23" spans="1:2" x14ac:dyDescent="0.25">
      <c r="A23" t="s">
        <v>24</v>
      </c>
      <c r="B23" s="11">
        <v>24202000000</v>
      </c>
    </row>
    <row r="24" spans="1:2" x14ac:dyDescent="0.25">
      <c r="A24" t="s">
        <v>25</v>
      </c>
      <c r="B24" s="10">
        <f>B22/(B22+B23)</f>
        <v>0.5896350068215392</v>
      </c>
    </row>
    <row r="25" spans="1:2" x14ac:dyDescent="0.25">
      <c r="A25" t="s">
        <v>26</v>
      </c>
      <c r="B25" s="10">
        <f>1-B24</f>
        <v>0.41036499317846076</v>
      </c>
    </row>
    <row r="26" spans="1:2" x14ac:dyDescent="0.25">
      <c r="A26" t="s">
        <v>27</v>
      </c>
      <c r="B26" s="12">
        <f>B24*B20+B25*B21*(1-B8)</f>
        <v>0.06968655929738293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12168000000</v>
      </c>
      <c r="C29" s="8" t="s">
        <v>30</v>
      </c>
    </row>
    <row r="30" spans="1:2" x14ac:dyDescent="0.25">
      <c r="A30" t="s">
        <v>31</v>
      </c>
      <c r="B30" s="11">
        <v>24070000000</v>
      </c>
    </row>
    <row r="31" spans="1:2" x14ac:dyDescent="0.25">
      <c r="A31" t="s">
        <v>32</v>
      </c>
      <c r="B31" s="13">
        <v>501000000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0.07480837487525593</v>
      </c>
      <c r="C5" s="10">
        <f>Assumptions!B6</f>
        <v>0.07480837487525593</v>
      </c>
      <c r="D5" s="10">
        <f>Assumptions!B6</f>
        <v>0.07480837487525593</v>
      </c>
      <c r="E5" s="10">
        <f>Assumptions!B6</f>
        <v>0.07480837487525593</v>
      </c>
      <c r="F5" s="10">
        <f>Assumptions!B6</f>
        <v>0.07480837487525593</v>
      </c>
    </row>
    <row r="6" spans="1:6" x14ac:dyDescent="0.25">
      <c r="A6" t="s">
        <v>43</v>
      </c>
      <c r="B6" s="18">
        <f>Assumptions!B29*(1+B5)</f>
        <v>13078268305.482115</v>
      </c>
      <c r="C6" s="18">
        <f>B6*(1+C5)</f>
        <v>14056632303.5978</v>
      </c>
      <c r="D6" s="18">
        <f>C6*(1+D5)</f>
        <v>15108186122.448977</v>
      </c>
      <c r="E6" s="18">
        <f>D6*(1+E5)</f>
        <v>16238404973.58228</v>
      </c>
      <c r="F6" s="18">
        <f>E6*(1+F5)</f>
        <v>17453173660.222244</v>
      </c>
    </row>
    <row r="7" spans="1:6" x14ac:dyDescent="0.25">
      <c r="A7" t="s">
        <v>5</v>
      </c>
      <c r="B7" s="10">
        <f>Assumptions!B7</f>
        <v>0.2380555165221114</v>
      </c>
      <c r="C7" s="10">
        <f>Assumptions!B7</f>
        <v>0.2380555165221114</v>
      </c>
      <c r="D7" s="10">
        <f>Assumptions!B7</f>
        <v>0.2380555165221114</v>
      </c>
      <c r="E7" s="10">
        <f>Assumptions!B7</f>
        <v>0.2380555165221114</v>
      </c>
      <c r="F7" s="10">
        <f>Assumptions!B7</f>
        <v>0.2380555165221114</v>
      </c>
    </row>
    <row r="8" spans="1:6" x14ac:dyDescent="0.25">
      <c r="A8" t="s">
        <v>44</v>
      </c>
      <c r="B8" s="18">
        <f>B6*B7</f>
        <v>3113353916.6763034</v>
      </c>
      <c r="C8" s="18">
        <f>C6*C7</f>
        <v>3346258863.594371</v>
      </c>
      <c r="D8" s="18">
        <f>D6*D7</f>
        <v>3596587051.0917864</v>
      </c>
      <c r="E8" s="18">
        <f>E6*E7</f>
        <v>3865641883.4813523</v>
      </c>
      <c r="F8" s="18">
        <f>F6*F7</f>
        <v>4154824270.634316</v>
      </c>
    </row>
    <row r="9" spans="1:6" x14ac:dyDescent="0.25">
      <c r="A9" t="s">
        <v>45</v>
      </c>
      <c r="B9" s="18">
        <f>B8*(1-Assumptions!B8)</f>
        <v>2768445711.0798974</v>
      </c>
      <c r="C9" s="18">
        <f>C8*(1-Assumptions!B8)</f>
        <v>2975548635.656157</v>
      </c>
      <c r="D9" s="18">
        <f>D8*(1-Assumptions!B8)</f>
        <v>3198144593.451879</v>
      </c>
      <c r="E9" s="18">
        <f>E8*(1-Assumptions!B8)</f>
        <v>3437392593.1041007</v>
      </c>
      <c r="F9" s="18">
        <f>F8*(1-Assumptions!B8)</f>
        <v>3694538346.8024607</v>
      </c>
    </row>
    <row r="10" spans="1:6" x14ac:dyDescent="0.25">
      <c r="A10" t="s">
        <v>46</v>
      </c>
      <c r="B10" s="18">
        <f>B6*Assumptions!B9</f>
        <v>1641579636.320632</v>
      </c>
      <c r="C10" s="18">
        <f>C6*Assumptions!B9</f>
        <v>1764383541.1420922</v>
      </c>
      <c r="D10" s="18">
        <f>D6*Assumptions!B9</f>
        <v>1896374206.5115814</v>
      </c>
      <c r="E10" s="18">
        <f>E6*Assumptions!B9</f>
        <v>2038238879.0560658</v>
      </c>
      <c r="F10" s="18">
        <f>F6*Assumptions!B9</f>
        <v>2190716217.2058134</v>
      </c>
    </row>
    <row r="11" spans="1:6" x14ac:dyDescent="0.25">
      <c r="A11" t="s">
        <v>47</v>
      </c>
      <c r="B11" s="18">
        <f>-B6*Assumptions!B10</f>
        <v>-3884139896.810858</v>
      </c>
      <c r="C11" s="18">
        <f>-C6*Assumptions!B10</f>
        <v>-4174706090.2794223</v>
      </c>
      <c r="D11" s="18">
        <f>-D6*Assumptions!B10</f>
        <v>-4487009068.4750595</v>
      </c>
      <c r="E11" s="18">
        <f>-E6*Assumptions!B10</f>
        <v>-4822674924.938215</v>
      </c>
      <c r="F11" s="18">
        <f>-F6*Assumptions!B10</f>
        <v>-5183451398.624491</v>
      </c>
    </row>
    <row r="12" spans="1:6" x14ac:dyDescent="0.25">
      <c r="A12" t="s">
        <v>48</v>
      </c>
      <c r="B12" s="18">
        <f>-(B6-Assumptions!B29)*Assumptions!B11</f>
        <v>580572393.359237</v>
      </c>
      <c r="C12" s="18">
        <f>-(C6-B6)*Assumptions!B11</f>
        <v>624004070.6038791</v>
      </c>
      <c r="D12" s="18">
        <f>-(D6-C6)*Assumptions!B11</f>
        <v>670684801.0412999</v>
      </c>
      <c r="E12" s="18">
        <f>-(E6-D6)*Assumptions!B11</f>
        <v>720857641.0607338</v>
      </c>
      <c r="F12" s="18">
        <f>-(F6-E6)*Assumptions!B11</f>
        <v>774783829.7048986</v>
      </c>
    </row>
    <row r="13" spans="1:6" x14ac:dyDescent="0.25">
      <c r="A13" s="19" t="s">
        <v>49</v>
      </c>
      <c r="B13" s="20">
        <f>B9+B10+B11+B12</f>
        <v>1106457843.948909</v>
      </c>
      <c r="C13" s="20">
        <f>C9+C10+C11+C12</f>
        <v>1189230157.122706</v>
      </c>
      <c r="D13" s="20">
        <f>D9+D10+D11+D12</f>
        <v>1278194532.5297012</v>
      </c>
      <c r="E13" s="20">
        <f>E9+E10+E11+E12</f>
        <v>1373814188.2826853</v>
      </c>
      <c r="F13" s="20">
        <f>F9+F10+F11+F12</f>
        <v>1476586995.088682</v>
      </c>
    </row>
    <row r="14" spans="1:6" x14ac:dyDescent="0.25">
      <c r="A14" t="s">
        <v>50</v>
      </c>
      <c r="B14" s="21">
        <f>1/(1+Assumptions!$B$26)^(1-0.5*Assumptions!$B$32)</f>
        <v>0.9668781157528411</v>
      </c>
      <c r="C14" s="21">
        <f>1/(1+Assumptions!$B$26)^(2-0.5*Assumptions!$B$32)</f>
        <v>0.9038891882384023</v>
      </c>
      <c r="D14" s="21">
        <f>1/(1+Assumptions!$B$26)^(3-0.5*Assumptions!$B$32)</f>
        <v>0.8450037820724944</v>
      </c>
      <c r="E14" s="21">
        <f>1/(1+Assumptions!$B$26)^(4-0.5*Assumptions!$B$32)</f>
        <v>0.7899545663428079</v>
      </c>
      <c r="F14" s="21">
        <f>1/(1+Assumptions!$B$26)^(5-0.5*Assumptions!$B$32)</f>
        <v>0.738491625866258</v>
      </c>
    </row>
    <row r="15" spans="1:6" x14ac:dyDescent="0.25">
      <c r="A15" s="19" t="s">
        <v>51</v>
      </c>
      <c r="B15" s="20">
        <f>B13*B14</f>
        <v>1069809875.3172723</v>
      </c>
      <c r="C15" s="20">
        <f>C13*C14</f>
        <v>1074932281.3502703</v>
      </c>
      <c r="D15" s="20">
        <f>D13*D14</f>
        <v>1080079214.2119815</v>
      </c>
      <c r="E15" s="20">
        <f>E13*E14</f>
        <v>1085250791.3404453</v>
      </c>
      <c r="F15" s="20">
        <f>F13*F14</f>
        <v>1090447130.7360132</v>
      </c>
    </row>
    <row r="17" spans="1:2" x14ac:dyDescent="0.25">
      <c r="A17" s="22" t="s">
        <v>52</v>
      </c>
      <c r="B17" s="23">
        <f>SUM(B15:F15)</f>
        <v>5400519292.955983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1476586995.088682</v>
      </c>
    </row>
    <row r="5" spans="1:2" x14ac:dyDescent="0.25">
      <c r="A5" t="s">
        <v>56</v>
      </c>
      <c r="B5" s="18">
        <f>IF(Assumptions!$B$33=0,B4,B4-Forecast!F11-Forecast!F10-Forecast!F12)</f>
        <v>3694538346.8024607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0.358749237328738</v>
      </c>
    </row>
    <row r="7" spans="1:2" x14ac:dyDescent="0.25">
      <c r="A7" t="s">
        <v>58</v>
      </c>
      <c r="B7" s="18">
        <f>-MAX(Forecast!F9,0)*B6</f>
        <v>-1325412814.1971593</v>
      </c>
    </row>
    <row r="8" spans="1:2" x14ac:dyDescent="0.25">
      <c r="A8" t="s">
        <v>59</v>
      </c>
      <c r="B8" s="18">
        <f>IF(OR(Assumptions!$B$33=0,Assumptions!B12&lt;=0),B5,MAX(B5+B7,0))</f>
        <v>2369125532.6053014</v>
      </c>
    </row>
    <row r="9" spans="1:2" x14ac:dyDescent="0.25">
      <c r="A9" t="s">
        <v>60</v>
      </c>
      <c r="B9" s="18">
        <f>B8*(1+Assumptions!B12)/(Assumptions!B26-Assumptions!B12)</f>
        <v>54341925382.08351</v>
      </c>
    </row>
    <row r="10" spans="1:2" x14ac:dyDescent="0.25">
      <c r="A10" t="s">
        <v>61</v>
      </c>
      <c r="B10" s="18">
        <f>B9/(1+Assumptions!B26)^(5-0.5*Assumptions!B32)</f>
        <v>40131056828.11773</v>
      </c>
    </row>
    <row r="11" spans="1:2" x14ac:dyDescent="0.25">
      <c r="A11" t="s">
        <v>62</v>
      </c>
      <c r="B11" s="18">
        <f>Forecast!B17+B10</f>
        <v>45531576121.073715</v>
      </c>
    </row>
    <row r="12" spans="1:2" x14ac:dyDescent="0.25">
      <c r="A12" t="s">
        <v>63</v>
      </c>
      <c r="B12" s="18">
        <f>-Assumptions!B30</f>
        <v>-24070000000</v>
      </c>
    </row>
    <row r="13" spans="1:2" x14ac:dyDescent="0.25">
      <c r="A13" t="s">
        <v>64</v>
      </c>
      <c r="B13" s="18">
        <f>B11+B12</f>
        <v>21461576121.073715</v>
      </c>
    </row>
    <row r="14" spans="1:2" x14ac:dyDescent="0.25">
      <c r="A14" s="19" t="s">
        <v>65</v>
      </c>
      <c r="B14" s="24">
        <f>B13/Assumptions!B31</f>
        <v>42.837477287572284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6345540487.84013</v>
      </c>
    </row>
    <row r="18" spans="1:2" x14ac:dyDescent="0.25">
      <c r="A18" t="s">
        <v>60</v>
      </c>
      <c r="B18" s="18">
        <f>B17*Assumptions!B13</f>
        <v>84118459655.14864</v>
      </c>
    </row>
    <row r="19" spans="1:2" x14ac:dyDescent="0.25">
      <c r="A19" t="s">
        <v>61</v>
      </c>
      <c r="B19" s="18">
        <f>B18/(1+Assumptions!B26)^(5-0.5*Assumptions!B32)</f>
        <v>62120778036.09595</v>
      </c>
    </row>
    <row r="20" spans="1:2" x14ac:dyDescent="0.25">
      <c r="A20" t="s">
        <v>62</v>
      </c>
      <c r="B20" s="18">
        <f>Forecast!B17+B19</f>
        <v>67521297329.05193</v>
      </c>
    </row>
    <row r="21" spans="1:2" x14ac:dyDescent="0.25">
      <c r="A21" t="s">
        <v>63</v>
      </c>
      <c r="B21" s="18">
        <f>-Assumptions!B30</f>
        <v>-24070000000</v>
      </c>
    </row>
    <row r="22" spans="1:2" x14ac:dyDescent="0.25">
      <c r="A22" t="s">
        <v>64</v>
      </c>
      <c r="B22" s="18">
        <f>B20+B21</f>
        <v>43451297329.05193</v>
      </c>
    </row>
    <row r="23" spans="1:2" x14ac:dyDescent="0.25">
      <c r="A23" s="19" t="s">
        <v>65</v>
      </c>
      <c r="B23" s="25">
        <f>B22/Assumptions!B31</f>
        <v>86.7291363853332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69.77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42.837477287572284</v>
      </c>
    </row>
    <row r="29" spans="1:2" x14ac:dyDescent="0.25">
      <c r="A29" s="19" t="s">
        <v>73</v>
      </c>
      <c r="B29" s="12">
        <f>B28/B26-1</f>
        <v>-0.3860186715268412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0.049687</v>
      </c>
      <c r="B5" s="31">
        <v>92.80195129095937</v>
      </c>
      <c r="C5" s="31">
        <v>98.16659672918585</v>
      </c>
      <c r="D5" s="31">
        <v>105.50154421712904</v>
      </c>
      <c r="E5" s="31">
        <v>116.30801439509735</v>
      </c>
      <c r="F5" s="31">
        <v>134.13151283607206</v>
      </c>
    </row>
    <row r="6" spans="1:6" x14ac:dyDescent="0.25">
      <c r="A6" s="30">
        <v>0.059687</v>
      </c>
      <c r="B6" s="31">
        <v>59.60083501138901</v>
      </c>
      <c r="C6" s="31">
        <v>60.07673256993973</v>
      </c>
      <c r="D6" s="31">
        <v>60.55263012849044</v>
      </c>
      <c r="E6" s="31">
        <v>61.0285276870412</v>
      </c>
      <c r="F6" s="31">
        <v>61.504425245591904</v>
      </c>
    </row>
    <row r="7" spans="1:6" x14ac:dyDescent="0.25">
      <c r="A7" s="30">
        <v>0.069687</v>
      </c>
      <c r="B7" s="31">
        <v>42.05533541439289</v>
      </c>
      <c r="C7" s="31">
        <v>42.44607324251337</v>
      </c>
      <c r="D7" s="32">
        <v>42.836811070633836</v>
      </c>
      <c r="E7" s="31">
        <v>43.22754889875433</v>
      </c>
      <c r="F7" s="31">
        <v>43.6182867268748</v>
      </c>
    </row>
    <row r="8" spans="1:6" x14ac:dyDescent="0.25">
      <c r="A8" s="30">
        <v>0.079687</v>
      </c>
      <c r="B8" s="31">
        <v>29.00894540262072</v>
      </c>
      <c r="C8" s="31">
        <v>29.33663643358848</v>
      </c>
      <c r="D8" s="31">
        <v>29.664327464556255</v>
      </c>
      <c r="E8" s="31">
        <v>29.99201849552401</v>
      </c>
      <c r="F8" s="31">
        <v>30.31970952649177</v>
      </c>
    </row>
    <row r="9" spans="1:6" x14ac:dyDescent="0.25">
      <c r="A9" s="30">
        <v>0.089687</v>
      </c>
      <c r="B9" s="31">
        <v>18.951788212642143</v>
      </c>
      <c r="C9" s="31">
        <v>19.23111011796014</v>
      </c>
      <c r="D9" s="31">
        <v>19.51043202327812</v>
      </c>
      <c r="E9" s="31">
        <v>19.789753928596117</v>
      </c>
      <c r="F9" s="31">
        <v>20.069075833914113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12168000000</v>
      </c>
      <c r="C5" s="18">
        <v>10290000000</v>
      </c>
      <c r="D5" s="18">
        <v>11237000000</v>
      </c>
      <c r="E5" s="18">
        <v>9800000000</v>
      </c>
      <c r="F5" s="8" t="s">
        <v>84</v>
      </c>
    </row>
    <row r="6" spans="1:6" x14ac:dyDescent="0.25">
      <c r="A6" t="s">
        <v>44</v>
      </c>
      <c r="B6" s="18">
        <v>2980000000</v>
      </c>
      <c r="C6" s="18">
        <v>2353000000</v>
      </c>
      <c r="D6" s="18">
        <v>3685000000</v>
      </c>
      <c r="E6" s="18">
        <v>1477000000</v>
      </c>
      <c r="F6" s="8" t="s">
        <v>85</v>
      </c>
    </row>
    <row r="7" spans="1:6" x14ac:dyDescent="0.25">
      <c r="A7" t="s">
        <v>86</v>
      </c>
      <c r="B7" s="18">
        <v>1459000000</v>
      </c>
      <c r="C7" s="18">
        <v>1373000000</v>
      </c>
      <c r="D7" s="18">
        <v>1324000000</v>
      </c>
      <c r="E7" s="18">
        <v>1283000000</v>
      </c>
      <c r="F7" s="8" t="s">
        <v>87</v>
      </c>
    </row>
    <row r="8" spans="1:6" x14ac:dyDescent="0.25">
      <c r="A8" t="s">
        <v>88</v>
      </c>
      <c r="B8" s="18">
        <v>3272000000</v>
      </c>
      <c r="C8" s="18">
        <v>3380000000</v>
      </c>
      <c r="D8" s="18">
        <v>3325000000</v>
      </c>
      <c r="E8" s="18">
        <v>2888000000</v>
      </c>
      <c r="F8" s="8" t="s">
        <v>89</v>
      </c>
    </row>
    <row r="9" spans="1:6" x14ac:dyDescent="0.25">
      <c r="A9" t="s">
        <v>90</v>
      </c>
      <c r="B9" s="18">
        <v>-193000000</v>
      </c>
      <c r="C9" s="18">
        <v>604000000</v>
      </c>
      <c r="D9" s="18">
        <v>-1307000000</v>
      </c>
      <c r="E9" s="18">
        <v>847000000</v>
      </c>
      <c r="F9" s="8" t="s">
        <v>91</v>
      </c>
    </row>
    <row r="10" spans="1:6" x14ac:dyDescent="0.25">
      <c r="A10" t="s">
        <v>92</v>
      </c>
      <c r="B10" s="18">
        <v>24202000000</v>
      </c>
      <c r="C10" s="18">
        <v>22860000000</v>
      </c>
      <c r="D10" s="18">
        <v>173000000</v>
      </c>
      <c r="E10" s="18">
        <v>20439000000</v>
      </c>
      <c r="F10" s="8" t="s">
        <v>93</v>
      </c>
    </row>
    <row r="11" spans="1:6" x14ac:dyDescent="0.25">
      <c r="A11" t="s">
        <v>94</v>
      </c>
      <c r="B11" s="18">
        <v>132000000</v>
      </c>
      <c r="C11" s="18">
        <v>125000000</v>
      </c>
      <c r="D11" s="18">
        <v>54000000</v>
      </c>
      <c r="E11" s="18">
        <v>465000000</v>
      </c>
      <c r="F11" s="8" t="s">
        <v>95</v>
      </c>
    </row>
    <row r="12" spans="1:6" x14ac:dyDescent="0.25">
      <c r="A12" t="s">
        <v>32</v>
      </c>
      <c r="B12" s="34">
        <v>501000000</v>
      </c>
      <c r="C12" s="34">
        <v>500000000</v>
      </c>
      <c r="D12" s="34">
        <v>500000000</v>
      </c>
      <c r="E12" s="34">
        <v>501000000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2026-09-19T00:07:06Z</dcterms:modified>
</cp:coreProperties>
</file>