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<sst xmlns="http://schemas.openxmlformats.org/spreadsheetml/2006/main" count="112" uniqueCount="100">
  <si>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PepsiCo, Inc. (PEP)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</si>
  <si>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</si>
  <si>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</si>
  <si>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</si>
  <si>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</si>
  <si>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</si>
  <si>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</si>
  <si>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</si>
  <si>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</si>
  <si>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</si>
  <si>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</si>
  <si>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</si>
  <si>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</si>
  <si>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</si>
  <si>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</si>
  <si>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</si>
  <si>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</si>
  <si>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</si>
  <si>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</si>
  <si>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</si>
  <si>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</si>
  <si>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</si>
  <si>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</si>
  <si>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</si>
  <si>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</si>
  <si>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</si>
  <si>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</si>
  <si>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</si>
  <si>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</si>
  <si>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</si>
  <si>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</si>
  <si>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</si>
  <si>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</si>
  <si>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</si>
  <si>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</si>
  <si>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</si>
  <si>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</si>
  <si>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</si>
  <si>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</si>
  <si>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</si>
  <si>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</si>
  <si>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</si>
  <si>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</si>
  <si>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</si>
  <si>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</si>
  <si>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</si>
  <si>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</si>
  <si>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</si>
  <si>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</si>
  <si>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</si>
  <si>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</si>
  <si>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</si>
  <si>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</si>
  <si>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</si>
  <si>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</si>
  <si>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</si>
  <si>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</si>
  <si>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</si>
  <si>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</si>
  <si>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</si>
  <si>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</si>
  <si>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</si>
  <si>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</si>
  <si>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</si>
  <si>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</si>
  <si>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</si>
  <si>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</si>
  <si>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</si>
  <si>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</si>
  <si>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</si>
  <si>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</si>
  <si>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</si>
  <si>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</si>
  <si>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</si>
  <si>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</si>
  <si>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</si>
  <si>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</si>
  <si>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</si>
  <si>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</si>
  <si>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</si>
  <si>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</si>
  <si>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</si>
  <si>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</si>
  <si>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</si>
  <si>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</si>
  <si>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</si>
  <si>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</si>
  <si>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</si>
  <si>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</si>
  <si>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</si>
  <si>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</si>
  <si>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</si>
  <si>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</si>
  <si>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</si>
  <si>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</si>
  <si>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</si>
  <si>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</si>
  <si>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</si>
  <si>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5.6%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</si>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</sst>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0.028259092561689236</v>
      </c>
    </row>
    <row r="7" spans="1:2" x14ac:dyDescent="0.25">
      <c r="A7" t="s">
        <v>5</v>
      </c>
      <c r="B7" s="6">
        <v>0.1392308093533635</v>
      </c>
    </row>
    <row r="8" spans="1:2" x14ac:dyDescent="0.25">
      <c r="A8" t="s">
        <v>6</v>
      </c>
      <c r="B8" s="6">
        <v>0.19223248893089318</v>
      </c>
    </row>
    <row r="9" spans="1:2" x14ac:dyDescent="0.25">
      <c r="A9" t="s">
        <v>7</v>
      </c>
      <c r="B9" s="6">
        <v>0.04061058949067697</v>
      </c>
    </row>
    <row r="10" spans="1:2" x14ac:dyDescent="0.25">
      <c r="A10" t="s">
        <v>8</v>
      </c>
      <c r="B10" s="6">
        <v>0.05637468274508036</v>
      </c>
    </row>
    <row r="11" spans="1:2" x14ac:dyDescent="0.25">
      <c r="A11" t="s">
        <v>9</v>
      </c>
      <c r="B11" s="6">
        <v>0.7943022694350556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12.315892666251628</v>
      </c>
    </row>
    <row r="14" spans="1:3" x14ac:dyDescent="0.25">
      <c r="A14" t="s">
        <v>12</v>
      </c>
      <c r="B14" s="6">
        <v>0.1648902113290424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0.57187</v>
      </c>
      <c r="C19" s="8" t="s">
        <v>19</v>
      </c>
    </row>
    <row r="20" spans="1:2" x14ac:dyDescent="0.25">
      <c r="A20" t="s">
        <v>20</v>
      </c>
      <c r="B20" s="10">
        <f>B17+B19*B18</f>
        <v>0.08143285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177238507520</v>
      </c>
    </row>
    <row r="23" spans="1:2" x14ac:dyDescent="0.25">
      <c r="A23" t="s">
        <v>24</v>
      </c>
      <c r="B23" s="11">
        <v>49901000000</v>
      </c>
    </row>
    <row r="24" spans="1:2" x14ac:dyDescent="0.25">
      <c r="A24" t="s">
        <v>25</v>
      </c>
      <c r="B24" s="10">
        <f>B22/(B22+B23)</f>
        <v>0.780306823128926</v>
      </c>
    </row>
    <row r="25" spans="1:2" x14ac:dyDescent="0.25">
      <c r="A25" t="s">
        <v>26</v>
      </c>
      <c r="B25" s="10">
        <f>1-B24</f>
        <v>0.21969317687107404</v>
      </c>
    </row>
    <row r="26" spans="1:2" x14ac:dyDescent="0.25">
      <c r="A26" t="s">
        <v>27</v>
      </c>
      <c r="B26" s="12">
        <f>B24*B20+B25*B21*(1-B8)</f>
        <v>0.07241210979562139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93925000000</v>
      </c>
      <c r="C29" s="8" t="s">
        <v>30</v>
      </c>
    </row>
    <row r="30" spans="1:2" x14ac:dyDescent="0.25">
      <c r="A30" t="s">
        <v>31</v>
      </c>
      <c r="B30" s="11">
        <v>40371000000</v>
      </c>
    </row>
    <row r="31" spans="1:2" x14ac:dyDescent="0.25">
      <c r="A31" t="s">
        <v>32</v>
      </c>
      <c r="B31" s="13">
        <v>1373000000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0.028259092561689236</v>
      </c>
      <c r="C5" s="10">
        <f>Assumptions!B6</f>
        <v>0.028259092561689236</v>
      </c>
      <c r="D5" s="10">
        <f>Assumptions!B6</f>
        <v>0.028259092561689236</v>
      </c>
      <c r="E5" s="10">
        <f>Assumptions!B6</f>
        <v>0.028259092561689236</v>
      </c>
      <c r="F5" s="10">
        <f>Assumptions!B6</f>
        <v>0.028259092561689236</v>
      </c>
    </row>
    <row r="6" spans="1:6" x14ac:dyDescent="0.25">
      <c r="A6" t="s">
        <v>43</v>
      </c>
      <c r="B6" s="18">
        <f>Assumptions!B29*(1+B5)</f>
        <v>96579235268.85666</v>
      </c>
      <c r="C6" s="18">
        <f>B6*(1+C5)</f>
        <v>99308476817.85645</v>
      </c>
      <c r="D6" s="18">
        <f>C6*(1+D5)</f>
        <v>102114844256.41261</v>
      </c>
      <c r="E6" s="18">
        <f>D6*(1+E5)</f>
        <v>105000517092.17706</v>
      </c>
      <c r="F6" s="18">
        <f>E6*(1+F5)</f>
        <v>107967736423.71013</v>
      </c>
    </row>
    <row r="7" spans="1:6" x14ac:dyDescent="0.25">
      <c r="A7" t="s">
        <v>5</v>
      </c>
      <c r="B7" s="10">
        <f>Assumptions!B7</f>
        <v>0.1392308093533635</v>
      </c>
      <c r="C7" s="10">
        <f>Assumptions!B7</f>
        <v>0.1392308093533635</v>
      </c>
      <c r="D7" s="10">
        <f>Assumptions!B7</f>
        <v>0.1392308093533635</v>
      </c>
      <c r="E7" s="10">
        <f>Assumptions!B7</f>
        <v>0.1392308093533635</v>
      </c>
      <c r="F7" s="10">
        <f>Assumptions!B7</f>
        <v>0.1392308093533635</v>
      </c>
    </row>
    <row r="8" spans="1:6" x14ac:dyDescent="0.25">
      <c r="A8" t="s">
        <v>44</v>
      </c>
      <c r="B8" s="18">
        <f>B6*B7</f>
        <v>13446805093.21182</v>
      </c>
      <c r="C8" s="18">
        <f>C6*C7</f>
        <v>13826799602.999887</v>
      </c>
      <c r="D8" s="18">
        <f>D6*D7</f>
        <v>14217532412.812988</v>
      </c>
      <c r="E8" s="18">
        <f>E6*E7</f>
        <v>14619306977.26549</v>
      </c>
      <c r="F8" s="18">
        <f>F6*F7</f>
        <v>15032435326.323784</v>
      </c>
    </row>
    <row r="9" spans="1:6" x14ac:dyDescent="0.25">
      <c r="A9" t="s">
        <v>45</v>
      </c>
      <c r="B9" s="18">
        <f>B8*(1-Assumptions!B8)</f>
        <v>10861892281.975101</v>
      </c>
      <c r="C9" s="18">
        <f>C8*(1-Assumptions!B8)</f>
        <v>11168839501.366533</v>
      </c>
      <c r="D9" s="18">
        <f>D8*(1-Assumptions!B8)</f>
        <v>11484460770.6423</v>
      </c>
      <c r="E9" s="18">
        <f>E8*(1-Assumptions!B8)</f>
        <v>11809001210.580973</v>
      </c>
      <c r="F9" s="18">
        <f>F8*(1-Assumptions!B8)</f>
        <v>12142712868.85188</v>
      </c>
    </row>
    <row r="10" spans="1:6" x14ac:dyDescent="0.25">
      <c r="A10" t="s">
        <v>46</v>
      </c>
      <c r="B10" s="18">
        <f>B6*Assumptions!B9</f>
        <v>3922139676.8270483</v>
      </c>
      <c r="C10" s="18">
        <f>C6*Assumptions!B9</f>
        <v>4032975784.994378</v>
      </c>
      <c r="D10" s="18">
        <f>D6*Assumptions!B9</f>
        <v>4146944021.0015855</v>
      </c>
      <c r="E10" s="18">
        <f>E6*Assumptions!B9</f>
        <v>4264132895.9392133</v>
      </c>
      <c r="F10" s="18">
        <f>F6*Assumptions!B9</f>
        <v>4384633422.140903</v>
      </c>
    </row>
    <row r="11" spans="1:6" x14ac:dyDescent="0.25">
      <c r="A11" t="s">
        <v>47</v>
      </c>
      <c r="B11" s="18">
        <f>-B6*Assumptions!B10</f>
        <v>-5444623748.0442705</v>
      </c>
      <c r="C11" s="18">
        <f>-C6*Assumptions!B10</f>
        <v>-5598483874.503825</v>
      </c>
      <c r="D11" s="18">
        <f>-D6*Assumptions!B10</f>
        <v>-5756691948.518553</v>
      </c>
      <c r="E11" s="18">
        <f>-E6*Assumptions!B10</f>
        <v>-5919370839.14087</v>
      </c>
      <c r="F11" s="18">
        <f>-F6*Assumptions!B10</f>
        <v>-6086646887.591116</v>
      </c>
    </row>
    <row r="12" spans="1:6" x14ac:dyDescent="0.25">
      <c r="A12" t="s">
        <v>48</v>
      </c>
      <c r="B12" s="18">
        <f>-(B6-Assumptions!B29)*Assumptions!B11</f>
        <v>-2108265097.667409</v>
      </c>
      <c r="C12" s="18">
        <f>-(C6-B6)*Assumptions!B11</f>
        <v>-2167842756.206977</v>
      </c>
      <c r="D12" s="18">
        <f>-(D6-C6)*Assumptions!B11</f>
        <v>-2229104025.313808</v>
      </c>
      <c r="E12" s="18">
        <f>-(E6-D6)*Assumptions!B11</f>
        <v>-2292096482.294795</v>
      </c>
      <c r="F12" s="18">
        <f>-(F6-E6)*Assumptions!B11</f>
        <v>-2356869048.9482827</v>
      </c>
    </row>
    <row r="13" spans="1:6" x14ac:dyDescent="0.25">
      <c r="A13" s="19" t="s">
        <v>49</v>
      </c>
      <c r="B13" s="20">
        <f>B9+B10+B11+B12</f>
        <v>7231143113.090472</v>
      </c>
      <c r="C13" s="20">
        <f>C9+C10+C11+C12</f>
        <v>7435488655.650109</v>
      </c>
      <c r="D13" s="20">
        <f>D9+D10+D11+D12</f>
        <v>7645608817.811523</v>
      </c>
      <c r="E13" s="20">
        <f>E9+E10+E11+E12</f>
        <v>7861666785.084519</v>
      </c>
      <c r="F13" s="20">
        <f>F9+F10+F11+F12</f>
        <v>8083830354.453384</v>
      </c>
    </row>
    <row r="14" spans="1:6" x14ac:dyDescent="0.25">
      <c r="A14" t="s">
        <v>50</v>
      </c>
      <c r="B14" s="21">
        <f>1/(1+Assumptions!$B$26)^(1-0.5*Assumptions!$B$32)</f>
        <v>0.9656486669083143</v>
      </c>
      <c r="C14" s="21">
        <f>1/(1+Assumptions!$B$26)^(2-0.5*Assumptions!$B$32)</f>
        <v>0.900445507923578</v>
      </c>
      <c r="D14" s="21">
        <f>1/(1+Assumptions!$B$26)^(3-0.5*Assumptions!$B$32)</f>
        <v>0.8396450391586715</v>
      </c>
      <c r="E14" s="21">
        <f>1/(1+Assumptions!$B$26)^(4-0.5*Assumptions!$B$32)</f>
        <v>0.782949979293585</v>
      </c>
      <c r="F14" s="21">
        <f>1/(1+Assumptions!$B$26)^(5-0.5*Assumptions!$B$32)</f>
        <v>0.730083120231455</v>
      </c>
    </row>
    <row r="15" spans="1:6" x14ac:dyDescent="0.25">
      <c r="A15" s="19" t="s">
        <v>51</v>
      </c>
      <c r="B15" s="20">
        <f>B13*B14</f>
        <v>6982743707.379052</v>
      </c>
      <c r="C15" s="20">
        <f>C13*C14</f>
        <v>6695252359.196865</v>
      </c>
      <c r="D15" s="20">
        <f>D13*D14</f>
        <v>6419597515.223241</v>
      </c>
      <c r="E15" s="20">
        <f>E13*E14</f>
        <v>6155291846.59499</v>
      </c>
      <c r="F15" s="20">
        <f>F13*F14</f>
        <v>5901868088.601076</v>
      </c>
    </row>
    <row r="17" spans="1:2" x14ac:dyDescent="0.25">
      <c r="A17" s="22" t="s">
        <v>52</v>
      </c>
      <c r="B17" s="23">
        <f>SUM(B15:F15)</f>
        <v>32154753516.995224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8083830354.453384</v>
      </c>
    </row>
    <row r="5" spans="1:2" x14ac:dyDescent="0.25">
      <c r="A5" t="s">
        <v>56</v>
      </c>
      <c r="B5" s="18">
        <f>IF(Assumptions!$B$33=0,B4,B4-Forecast!F11-Forecast!F10-Forecast!F12)</f>
        <v>12142712868.85188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0.15161603468450832</v>
      </c>
    </row>
    <row r="7" spans="1:2" x14ac:dyDescent="0.25">
      <c r="A7" t="s">
        <v>58</v>
      </c>
      <c r="B7" s="18">
        <f>-MAX(Forecast!F9,0)*B6</f>
        <v>-1841029975.4878721</v>
      </c>
    </row>
    <row r="8" spans="1:2" x14ac:dyDescent="0.25">
      <c r="A8" t="s">
        <v>59</v>
      </c>
      <c r="B8" s="18">
        <f>IF(OR(Assumptions!$B$33=0,Assumptions!B12&lt;=0),B5,MAX(B5+B7,0))</f>
        <v>10301682893.364006</v>
      </c>
    </row>
    <row r="9" spans="1:2" x14ac:dyDescent="0.25">
      <c r="A9" t="s">
        <v>60</v>
      </c>
      <c r="B9" s="18">
        <f>B8*(1+Assumptions!B12)/(Assumptions!B26-Assumptions!B12)</f>
        <v>222711560637.47394</v>
      </c>
    </row>
    <row r="10" spans="1:2" x14ac:dyDescent="0.25">
      <c r="A10" t="s">
        <v>61</v>
      </c>
      <c r="B10" s="18">
        <f>B9/(1+Assumptions!B26)^(5-0.5*Assumptions!B32)</f>
        <v>162597951101.82388</v>
      </c>
    </row>
    <row r="11" spans="1:2" x14ac:dyDescent="0.25">
      <c r="A11" t="s">
        <v>62</v>
      </c>
      <c r="B11" s="18">
        <f>Forecast!B17+B10</f>
        <v>194752704618.8191</v>
      </c>
    </row>
    <row r="12" spans="1:2" x14ac:dyDescent="0.25">
      <c r="A12" t="s">
        <v>63</v>
      </c>
      <c r="B12" s="18">
        <f>-Assumptions!B30</f>
        <v>-40371000000</v>
      </c>
    </row>
    <row r="13" spans="1:2" x14ac:dyDescent="0.25">
      <c r="A13" t="s">
        <v>64</v>
      </c>
      <c r="B13" s="18">
        <f>B11+B12</f>
        <v>154381704618.8191</v>
      </c>
    </row>
    <row r="14" spans="1:2" x14ac:dyDescent="0.25">
      <c r="A14" s="19" t="s">
        <v>65</v>
      </c>
      <c r="B14" s="24">
        <f>B13/Assumptions!B31</f>
        <v>112.44115412878303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19417068748.464687</v>
      </c>
    </row>
    <row r="18" spans="1:2" x14ac:dyDescent="0.25">
      <c r="A18" t="s">
        <v>60</v>
      </c>
      <c r="B18" s="18">
        <f>B17*Assumptions!B13</f>
        <v>239138534599.31992</v>
      </c>
    </row>
    <row r="19" spans="1:2" x14ac:dyDescent="0.25">
      <c r="A19" t="s">
        <v>61</v>
      </c>
      <c r="B19" s="18">
        <f>B18/(1+Assumptions!B26)^(5-0.5*Assumptions!B32)</f>
        <v>174591007507.84924</v>
      </c>
    </row>
    <row r="20" spans="1:2" x14ac:dyDescent="0.25">
      <c r="A20" t="s">
        <v>62</v>
      </c>
      <c r="B20" s="18">
        <f>Forecast!B17+B19</f>
        <v>206745761024.84448</v>
      </c>
    </row>
    <row r="21" spans="1:2" x14ac:dyDescent="0.25">
      <c r="A21" t="s">
        <v>63</v>
      </c>
      <c r="B21" s="18">
        <f>-Assumptions!B30</f>
        <v>-40371000000</v>
      </c>
    </row>
    <row r="22" spans="1:2" x14ac:dyDescent="0.25">
      <c r="A22" t="s">
        <v>64</v>
      </c>
      <c r="B22" s="18">
        <f>B20+B21</f>
        <v>166374761024.84448</v>
      </c>
    </row>
    <row r="23" spans="1:2" x14ac:dyDescent="0.25">
      <c r="A23" s="19" t="s">
        <v>65</v>
      </c>
      <c r="B23" s="25">
        <f>B22/Assumptions!B31</f>
        <v>121.17608231962453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129.75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112.44115412878303</v>
      </c>
    </row>
    <row r="29" spans="1:2" x14ac:dyDescent="0.25">
      <c r="A29" s="19" t="s">
        <v>73</v>
      </c>
      <c r="B29" s="12">
        <f>B28/B26-1</f>
        <v>-0.13340150960475505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0.052412</v>
      </c>
      <c r="B5" s="31">
        <v>168.43187367621817</v>
      </c>
      <c r="C5" s="31">
        <v>189.44776927651344</v>
      </c>
      <c r="D5" s="31">
        <v>218.05260227806622</v>
      </c>
      <c r="E5" s="31">
        <v>259.32552942810446</v>
      </c>
      <c r="F5" s="31">
        <v>324.1797951688102</v>
      </c>
    </row>
    <row r="6" spans="1:6" x14ac:dyDescent="0.25">
      <c r="A6" s="30">
        <v>0.062412</v>
      </c>
      <c r="B6" s="31">
        <v>125.61794276943509</v>
      </c>
      <c r="C6" s="31">
        <v>136.87947335215853</v>
      </c>
      <c r="D6" s="31">
        <v>151.09655532112652</v>
      </c>
      <c r="E6" s="31">
        <v>169.63699290914394</v>
      </c>
      <c r="F6" s="31">
        <v>194.8665505363822</v>
      </c>
    </row>
    <row r="7" spans="1:6" x14ac:dyDescent="0.25">
      <c r="A7" s="30">
        <v>0.072412</v>
      </c>
      <c r="B7" s="31">
        <v>97.78289696442806</v>
      </c>
      <c r="C7" s="31">
        <v>104.4316707490967</v>
      </c>
      <c r="D7" s="32">
        <v>112.44148872912642</v>
      </c>
      <c r="E7" s="31">
        <v>122.29371615327746</v>
      </c>
      <c r="F7" s="31">
        <v>134.7270502754207</v>
      </c>
    </row>
    <row r="8" spans="1:6" x14ac:dyDescent="0.25">
      <c r="A8" s="30">
        <v>0.082412</v>
      </c>
      <c r="B8" s="31">
        <v>78.25748495546065</v>
      </c>
      <c r="C8" s="31">
        <v>82.42982474720634</v>
      </c>
      <c r="D8" s="31">
        <v>87.29619330236079</v>
      </c>
      <c r="E8" s="31">
        <v>93.05521748979253</v>
      </c>
      <c r="F8" s="31">
        <v>99.98931177175064</v>
      </c>
    </row>
    <row r="9" spans="1:6" x14ac:dyDescent="0.25">
      <c r="A9" s="30">
        <v>0.092412</v>
      </c>
      <c r="B9" s="31">
        <v>63.818755272968644</v>
      </c>
      <c r="C9" s="31">
        <v>66.54374046669102</v>
      </c>
      <c r="D9" s="31">
        <v>69.64622754556741</v>
      </c>
      <c r="E9" s="31">
        <v>73.21694470733729</v>
      </c>
      <c r="F9" s="31">
        <v>77.37822615466557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93925000000</v>
      </c>
      <c r="C5" s="18">
        <v>91854000000</v>
      </c>
      <c r="D5" s="18">
        <v>91471000000</v>
      </c>
      <c r="E5" s="18">
        <v>86392000000</v>
      </c>
      <c r="F5" s="8" t="s">
        <v>84</v>
      </c>
    </row>
    <row r="6" spans="1:6" x14ac:dyDescent="0.25">
      <c r="A6" t="s">
        <v>44</v>
      </c>
      <c r="B6" s="18">
        <v>13491000000</v>
      </c>
      <c r="C6" s="18">
        <v>12920000000</v>
      </c>
      <c r="D6" s="18">
        <v>12913000000</v>
      </c>
      <c r="E6" s="18">
        <v>11357000000</v>
      </c>
      <c r="F6" s="8" t="s">
        <v>85</v>
      </c>
    </row>
    <row r="7" spans="1:6" x14ac:dyDescent="0.25">
      <c r="A7" t="s">
        <v>86</v>
      </c>
      <c r="B7" s="18">
        <v>4178000000</v>
      </c>
      <c r="C7" s="18">
        <v>3815000000</v>
      </c>
      <c r="D7" s="18">
        <v>3518000000</v>
      </c>
      <c r="E7" s="18">
        <v>3280000000</v>
      </c>
      <c r="F7" s="8" t="s">
        <v>87</v>
      </c>
    </row>
    <row r="8" spans="1:6" x14ac:dyDescent="0.25">
      <c r="A8" t="s">
        <v>88</v>
      </c>
      <c r="B8" s="18">
        <v>4415000000</v>
      </c>
      <c r="C8" s="18">
        <v>5318000000</v>
      </c>
      <c r="D8" s="18">
        <v>5518000000</v>
      </c>
      <c r="E8" s="18">
        <v>5207000000</v>
      </c>
      <c r="F8" s="8" t="s">
        <v>89</v>
      </c>
    </row>
    <row r="9" spans="1:6" x14ac:dyDescent="0.25">
      <c r="A9" t="s">
        <v>90</v>
      </c>
      <c r="B9" s="18">
        <v>1645000000</v>
      </c>
      <c r="C9" s="18">
        <v>1478000000</v>
      </c>
      <c r="D9" s="18">
        <v>337000000</v>
      </c>
      <c r="E9" s="18">
        <v>888000000</v>
      </c>
      <c r="F9" s="8" t="s">
        <v>91</v>
      </c>
    </row>
    <row r="10" spans="1:6" x14ac:dyDescent="0.25">
      <c r="A10" t="s">
        <v>92</v>
      </c>
      <c r="B10" s="18">
        <v>49901000000</v>
      </c>
      <c r="C10" s="18">
        <v>44948000000</v>
      </c>
      <c r="D10" s="18">
        <v>44661000000</v>
      </c>
      <c r="E10" s="18">
        <v>39554000000</v>
      </c>
      <c r="F10" s="8" t="s">
        <v>93</v>
      </c>
    </row>
    <row r="11" spans="1:6" x14ac:dyDescent="0.25">
      <c r="A11" t="s">
        <v>94</v>
      </c>
      <c r="B11" s="18">
        <v>9530000000</v>
      </c>
      <c r="C11" s="18">
        <v>9266000000</v>
      </c>
      <c r="D11" s="18">
        <v>10003000000</v>
      </c>
      <c r="E11" s="18">
        <v>5348000000</v>
      </c>
      <c r="F11" s="8" t="s">
        <v>95</v>
      </c>
    </row>
    <row r="12" spans="1:6" x14ac:dyDescent="0.25">
      <c r="A12" t="s">
        <v>32</v>
      </c>
      <c r="B12" s="34">
        <v>1373000000</v>
      </c>
      <c r="C12" s="34">
        <v>1378000000</v>
      </c>
      <c r="D12" s="34">
        <v>1383000000</v>
      </c>
      <c r="E12" s="34">
        <v>1387000000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