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<sst xmlns="http://schemas.openxmlformats.org/spreadsheetml/2006/main" count="120" uniqueCount="107">
  <si>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PepsiCo, Inc. (PEP)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</si>
  <si>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</si>
  <si>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</si>
  <si>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</si>
  <si>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</si>
  <si>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</si>
  <si>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</si>
  <si>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</si>
  <si>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</si>
  <si>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</si>
  <si>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</si>
  <si>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</si>
  <si>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</si>
  <si>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</si>
  <si>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</si>
  <si>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</si>
  <si>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</si>
  <si>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</si>
  <si>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</si>
  <si>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</si>
  <si>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</si>
  <si>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</si>
  <si>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</si>
  <si>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</si>
  <si>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12.0x interest cover. Book interest / average debt was lower, at 2.4%.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</si>
  <si>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</si>
  <si>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</si>
  <si>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</si>
  <si>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</si>
  <si>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</si>
  <si>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</si>
  <si>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</si>
  <si>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</si>
  <si>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</si>
  <si>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</si>
  <si>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</si>
  <si>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</si>
  <si>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</si>
  <si>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</si>
  <si>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</si>
  <si>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</si>
  <si>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</si>
  <si>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</si>
  <si>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</si>
  <si>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</si>
  <si>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</si>
  <si>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</si>
  <si>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</si>
  <si>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</si>
  <si>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</si>
  <si>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</si>
  <si>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</si>
  <si>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</si>
  <si>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</si>
  <si>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</si>
  <si>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</si>
  <si>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</si>
  <si>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</si>
  <si>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</si>
  <si>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</si>
  <si>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</si>
  <si>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</si>
  <si>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</si>
  <si>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</si>
  <si>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</si>
  <si>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</si>
  <si>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</si>
  <si>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</si>
  <si>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</si>
  <si>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</si>
  <si>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</si>
  <si>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</si>
  <si>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</si>
  <si>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</si>
  <si>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</si>
  <si>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</si>
  <si>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</si>
  <si>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</si>
  <si>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</si>
  <si>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</si>
  <si>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</si>
  <si>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</si>
  <si>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</si>
  <si>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</si>
  <si>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</si>
  <si>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</si>
  <si>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</si>
  <si>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</si>
  <si>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</si>
  <si>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</si>
  <si>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</si>
  <si>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</si>
  <si>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</si>
  <si>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</si>
  <si>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</si>
  <si>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</si>
  <si>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</si>
  <si>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</si>
  <si>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</si>
  <si>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</si>
  <si>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</si>
  <si>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</si>
  <si>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</si>
  <si>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</si>
  <si>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</si>
  <si>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5.6% of revenue against depreciation of 4.1%.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</si>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</sst>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0.057232455150386</v>
      </c>
    </row>
    <row r="7" spans="1:2" x14ac:dyDescent="0.25">
      <c r="A7" t="s">
        <v>4</v>
      </c>
      <c r="B7" s="5">
        <v>0.1392308093533635</v>
      </c>
    </row>
    <row r="8" spans="1:2" x14ac:dyDescent="0.25">
      <c r="A8" t="s">
        <v>5</v>
      </c>
      <c r="B8" s="5">
        <v>0.19223248893089318</v>
      </c>
    </row>
    <row r="9" spans="1:2" x14ac:dyDescent="0.25">
      <c r="A9" t="s">
        <v>6</v>
      </c>
      <c r="B9" s="5">
        <v>0.04061058949067697</v>
      </c>
    </row>
    <row r="10" spans="1:3" x14ac:dyDescent="0.25">
      <c r="A10" t="s">
        <v>7</v>
      </c>
      <c r="B10" s="5">
        <v>0.05637468274508036</v>
      </c>
      <c r="C10" s="6" t="s">
        <v>8</v>
      </c>
    </row>
    <row r="11" spans="1:2" x14ac:dyDescent="0.25">
      <c r="A11" t="s">
        <v>9</v>
      </c>
      <c r="B11" s="5">
        <v>0.03074207592387145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12.877347652951498</v>
      </c>
    </row>
    <row r="14" spans="1:3" x14ac:dyDescent="0.25">
      <c r="A14" t="s">
        <v>12</v>
      </c>
      <c r="B14" s="5">
        <v>0.1648902113290424</v>
      </c>
      <c r="C14" s="6" t="s">
        <v>13</v>
      </c>
    </row>
    <row r="15" spans="1:3" x14ac:dyDescent="0.25">
      <c r="A15" t="s">
        <v>14</v>
      </c>
      <c r="B15" s="5">
        <v>0.04061058949067697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0.57388</v>
      </c>
      <c r="C19" s="6" t="s">
        <v>21</v>
      </c>
    </row>
    <row r="20" spans="1:2" x14ac:dyDescent="0.25">
      <c r="A20" t="s">
        <v>22</v>
      </c>
      <c r="B20" s="9">
        <f>B17+B19*B18</f>
        <v>0.07321512399999999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187158855680</v>
      </c>
    </row>
    <row r="23" spans="1:2" x14ac:dyDescent="0.25">
      <c r="A23" t="s">
        <v>26</v>
      </c>
      <c r="B23" s="10">
        <v>49901000000</v>
      </c>
    </row>
    <row r="24" spans="1:2" x14ac:dyDescent="0.25">
      <c r="A24" t="s">
        <v>27</v>
      </c>
      <c r="B24" s="9">
        <f>B22/(B22+B23)</f>
        <v>0.7895004202341207</v>
      </c>
    </row>
    <row r="25" spans="1:2" x14ac:dyDescent="0.25">
      <c r="A25" t="s">
        <v>28</v>
      </c>
      <c r="B25" s="9">
        <f>1-B24</f>
        <v>0.2104995797658793</v>
      </c>
    </row>
    <row r="26" spans="1:2" x14ac:dyDescent="0.25">
      <c r="A26" t="s">
        <v>29</v>
      </c>
      <c r="B26" s="11">
        <f>B24*B20+B25*B21*(1-B8)</f>
        <v>0.06680500932851013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93925000000</v>
      </c>
      <c r="C29" s="6" t="s">
        <v>32</v>
      </c>
    </row>
    <row r="30" spans="1:2" x14ac:dyDescent="0.25">
      <c r="A30" t="s">
        <v>33</v>
      </c>
      <c r="B30" s="10">
        <v>40371000000</v>
      </c>
    </row>
    <row r="31" spans="1:2" x14ac:dyDescent="0.25">
      <c r="A31" t="s">
        <v>34</v>
      </c>
      <c r="B31" s="12">
        <v>1373000000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0.057232455150386</v>
      </c>
      <c r="C5" s="5">
        <v>0.0248994897016106</v>
      </c>
      <c r="D5" s="5">
        <v>0.024912053488909274</v>
      </c>
      <c r="E5" s="5">
        <v>0.02492461727620795</v>
      </c>
      <c r="F5" s="5">
        <v>0.024937181063506626</v>
      </c>
      <c r="G5" s="5">
        <v>0.0249497448508053</v>
      </c>
      <c r="H5" s="5">
        <v>0.024962308638103975</v>
      </c>
      <c r="I5" s="5">
        <v>0.024974872425402653</v>
      </c>
      <c r="J5" s="5">
        <v>0.024987436212701327</v>
      </c>
      <c r="K5" s="5">
        <v>0.025</v>
      </c>
    </row>
    <row r="6" spans="1:11" x14ac:dyDescent="0.25">
      <c r="A6" t="s">
        <v>50</v>
      </c>
      <c r="B6" s="18">
        <f>Assumptions!B29*(1+B5)</f>
        <v>99300558350</v>
      </c>
      <c r="C6" s="18">
        <f>B6*(1+C5)</f>
        <v>101773091580</v>
      </c>
      <c r="D6" s="18">
        <f>C6*(1+D5)</f>
        <v>104308468281.17262</v>
      </c>
      <c r="E6" s="18">
        <f>D6*(1+E5)</f>
        <v>106908316931.74832</v>
      </c>
      <c r="F6" s="18">
        <f>E6*(1+F5)</f>
        <v>109574308988.27008</v>
      </c>
      <c r="G6" s="18">
        <f>F6*(1+G5)</f>
        <v>112308160039.73073</v>
      </c>
      <c r="H6" s="18">
        <f>G6*(1+H5)</f>
        <v>115111630993.22005</v>
      </c>
      <c r="I6" s="18">
        <f>H6*(1+I5)</f>
        <v>117986529291.95575</v>
      </c>
      <c r="J6" s="18">
        <f>I6*(1+J5)</f>
        <v>120934710166.59651</v>
      </c>
      <c r="K6" s="18">
        <f>J6*(1+K5)</f>
        <v>123958077920.76141</v>
      </c>
    </row>
    <row r="7" spans="1:11" x14ac:dyDescent="0.25">
      <c r="A7" t="s">
        <v>4</v>
      </c>
      <c r="B7" s="9">
        <f>Assumptions!B7</f>
        <v>0.1392308093533635</v>
      </c>
      <c r="C7" s="9">
        <f>Assumptions!B7</f>
        <v>0.1392308093533635</v>
      </c>
      <c r="D7" s="9">
        <f>Assumptions!B7</f>
        <v>0.1392308093533635</v>
      </c>
      <c r="E7" s="9">
        <f>Assumptions!B7</f>
        <v>0.1392308093533635</v>
      </c>
      <c r="F7" s="9">
        <f>Assumptions!B7</f>
        <v>0.1392308093533635</v>
      </c>
      <c r="G7" s="9">
        <f>Assumptions!B7</f>
        <v>0.1392308093533635</v>
      </c>
      <c r="H7" s="9">
        <f>Assumptions!B7</f>
        <v>0.1392308093533635</v>
      </c>
      <c r="I7" s="9">
        <f>Assumptions!B7</f>
        <v>0.1392308093533635</v>
      </c>
      <c r="J7" s="9">
        <f>Assumptions!B7</f>
        <v>0.1392308093533635</v>
      </c>
      <c r="K7" s="9">
        <f>Assumptions!B7</f>
        <v>0.1392308093533635</v>
      </c>
    </row>
    <row r="8" spans="1:11" x14ac:dyDescent="0.25">
      <c r="A8" t="s">
        <v>51</v>
      </c>
      <c r="B8" s="18">
        <f>B6*B7</f>
        <v>13825697108.311398</v>
      </c>
      <c r="C8" s="18">
        <f>C6*C7</f>
        <v>14169949911.077383</v>
      </c>
      <c r="D8" s="18">
        <f>D6*D7</f>
        <v>14522952461.197308</v>
      </c>
      <c r="E8" s="18">
        <f>E6*E7</f>
        <v>14884931493.013212</v>
      </c>
      <c r="F8" s="18">
        <f>F6*F7</f>
        <v>15256119724.772375</v>
      </c>
      <c r="G8" s="18">
        <f>G6*G7</f>
        <v>15636756019.318785</v>
      </c>
      <c r="H8" s="18">
        <f>H6*H7</f>
        <v>16027085549.171747</v>
      </c>
      <c r="I8" s="18">
        <f>I6*I7</f>
        <v>16427359966.113327</v>
      </c>
      <c r="J8" s="18">
        <f>J6*J7</f>
        <v>16837837575.409668</v>
      </c>
      <c r="K8" s="18">
        <f>K6*K7</f>
        <v>17258783514.794907</v>
      </c>
    </row>
    <row r="9" spans="1:11" x14ac:dyDescent="0.25">
      <c r="A9" t="s">
        <v>52</v>
      </c>
      <c r="B9" s="18">
        <f>B8*(1-Assumptions!B8)</f>
        <v>11167948941.976046</v>
      </c>
      <c r="C9" s="18">
        <f>C8*(1-Assumptions!B8)</f>
        <v>11446025171.64489</v>
      </c>
      <c r="D9" s="18">
        <f>D8*(1-Assumptions!B8)</f>
        <v>11731169162.956308</v>
      </c>
      <c r="E9" s="18">
        <f>E8*(1-Assumptions!B8)</f>
        <v>12023564064.545446</v>
      </c>
      <c r="F9" s="18">
        <f>F8*(1-Assumptions!B8)</f>
        <v>12323397858.651688</v>
      </c>
      <c r="G9" s="18">
        <f>G8*(1-Assumptions!B8)</f>
        <v>12630863490.92001</v>
      </c>
      <c r="H9" s="18">
        <f>H8*(1-Assumptions!B8)</f>
        <v>12946159003.74611</v>
      </c>
      <c r="I9" s="18">
        <f>I8*(1-Assumptions!B8)</f>
        <v>13269487673.263649</v>
      </c>
      <c r="J9" s="18">
        <f>J8*(1-Assumptions!B8)</f>
        <v>13601058150.074553</v>
      </c>
      <c r="K9" s="18">
        <f>K8*(1-Assumptions!B8)</f>
        <v>13941084603.826412</v>
      </c>
    </row>
    <row r="10" spans="1:11" x14ac:dyDescent="0.25">
      <c r="A10" t="s">
        <v>53</v>
      </c>
      <c r="B10" s="18">
        <f>B6*Assumptions!B9</f>
        <v>4032654211.3468647</v>
      </c>
      <c r="C10" s="18">
        <f>C6*Assumptions!B9</f>
        <v>4133065243.3524523</v>
      </c>
      <c r="D10" s="18">
        <f>D6*Assumptions!B9</f>
        <v>4236028385.7680006</v>
      </c>
      <c r="E10" s="18">
        <f>E6*Assumptions!B9</f>
        <v>4341609772.05442</v>
      </c>
      <c r="F10" s="18">
        <f>F6*Assumptions!B9</f>
        <v>4449877281.047232</v>
      </c>
      <c r="G10" s="18">
        <f>G6*Assumptions!B9</f>
        <v>4560900583.826756</v>
      </c>
      <c r="H10" s="18">
        <f>H6*Assumptions!B9</f>
        <v>4674751191.867947</v>
      </c>
      <c r="I10" s="18">
        <f>I6*Assumptions!B9</f>
        <v>4791502506.505348</v>
      </c>
      <c r="J10" s="18">
        <f>J6*Assumptions!B9</f>
        <v>4911229869.749649</v>
      </c>
      <c r="K10" s="18">
        <f>K6*Assumptions!B9</f>
        <v>5034010616.49339</v>
      </c>
    </row>
    <row r="11" spans="1:11" x14ac:dyDescent="0.25">
      <c r="A11" t="s">
        <v>54</v>
      </c>
      <c r="B11" s="18">
        <f>-B6*B19</f>
        <v>-5598037473.390591</v>
      </c>
      <c r="C11" s="18">
        <f>-C6*C19</f>
        <v>-5751985799.027155</v>
      </c>
      <c r="D11" s="18">
        <f>-D6*D19</f>
        <v>-5910202346.863548</v>
      </c>
      <c r="E11" s="18">
        <f>-E6*E19</f>
        <v>-6072806592.657193</v>
      </c>
      <c r="F11" s="18">
        <f>-F6*F19</f>
        <v>-6239921391.554213</v>
      </c>
      <c r="G11" s="18">
        <f>-G6*G19</f>
        <v>-6411673074.722333</v>
      </c>
      <c r="H11" s="18">
        <f>-H6*H19</f>
        <v>-6588191548.777898</v>
      </c>
      <c r="I11" s="18">
        <f>-I6*I19</f>
        <v>-6769610398.088676</v>
      </c>
      <c r="J11" s="18">
        <f>-J6*J19</f>
        <v>-6956066990.036562</v>
      </c>
      <c r="K11" s="18">
        <f>-K6*K19</f>
        <v>-7147702583.3268</v>
      </c>
    </row>
    <row r="12" spans="1:11" x14ac:dyDescent="0.25">
      <c r="A12" t="s">
        <v>55</v>
      </c>
      <c r="B12" s="18">
        <f>-(B6-Assumptions!B29)*Assumptions!B11</f>
        <v>-165255822.92890114</v>
      </c>
      <c r="C12" s="18">
        <f>-(C6-B6)*Assumptions!B11</f>
        <v>-76010804.2809551</v>
      </c>
      <c r="D12" s="18">
        <f>-(D6-C6)*Assumptions!B11</f>
        <v>-77942743.0430635</v>
      </c>
      <c r="E12" s="18">
        <f>-(E6-D6)*Assumptions!B11</f>
        <v>-79924744.60657287</v>
      </c>
      <c r="F12" s="18">
        <f>-(F6-E6)*Assumptions!B11</f>
        <v>-81958130.2140301</v>
      </c>
      <c r="G12" s="18">
        <f>-(G6-F6)*Assumptions!B11</f>
        <v>-84044256.58855902</v>
      </c>
      <c r="H12" s="18">
        <f>-(H6-G6)*Assumptions!B11</f>
        <v>-86184516.90253693</v>
      </c>
      <c r="I12" s="18">
        <f>-(I6-H6)*Assumptions!B11</f>
        <v>-88380341.77314183</v>
      </c>
      <c r="J12" s="18">
        <f>-(J6-I6)*Assumptions!B11</f>
        <v>-90633200.28551205</v>
      </c>
      <c r="K12" s="18">
        <f>-(K6-J6)*Assumptions!B11</f>
        <v>-92944601.04432212</v>
      </c>
    </row>
    <row r="13" spans="1:11" x14ac:dyDescent="0.25">
      <c r="A13" s="19" t="s">
        <v>56</v>
      </c>
      <c r="B13" s="20">
        <f>B9+B10+B11+B12</f>
        <v>9437309857.003418</v>
      </c>
      <c r="C13" s="20">
        <f>C9+C10+C11+C12</f>
        <v>9751093811.689232</v>
      </c>
      <c r="D13" s="20">
        <f>D9+D10+D11+D12</f>
        <v>9979052458.817696</v>
      </c>
      <c r="E13" s="20">
        <f>E9+E10+E11+E12</f>
        <v>10212442499.3361</v>
      </c>
      <c r="F13" s="20">
        <f>F9+F10+F11+F12</f>
        <v>10451395617.930677</v>
      </c>
      <c r="G13" s="20">
        <f>G9+G10+G11+G12</f>
        <v>10696046743.435875</v>
      </c>
      <c r="H13" s="20">
        <f>H9+H10+H11+H12</f>
        <v>10946534129.933626</v>
      </c>
      <c r="I13" s="20">
        <f>I9+I10+I11+I12</f>
        <v>11202999439.907179</v>
      </c>
      <c r="J13" s="20">
        <f>J9+J10+J11+J12</f>
        <v>11465587829.502129</v>
      </c>
      <c r="K13" s="20">
        <f>K9+K10+K11+K12</f>
        <v>11734448035.948677</v>
      </c>
    </row>
    <row r="14" spans="1:11" x14ac:dyDescent="0.25">
      <c r="A14" t="s">
        <v>57</v>
      </c>
      <c r="B14" s="21">
        <f>1/(1+Assumptions!$B$26)^(1-0.5*Assumptions!$B$32)</f>
        <v>0.9681830537339596</v>
      </c>
      <c r="C14" s="21">
        <f>1/(1+Assumptions!$B$26)^(2-0.5*Assumptions!$B$32)</f>
        <v>0.9075539065413395</v>
      </c>
      <c r="D14" s="21">
        <f>1/(1+Assumptions!$B$26)^(3-0.5*Assumptions!$B$32)</f>
        <v>0.8507214520042331</v>
      </c>
      <c r="E14" s="21">
        <f>1/(1+Assumptions!$B$26)^(4-0.5*Assumptions!$B$32)</f>
        <v>0.797447935250802</v>
      </c>
      <c r="F14" s="21">
        <f>1/(1+Assumptions!$B$26)^(5-0.5*Assumptions!$B$32)</f>
        <v>0.7475104899936191</v>
      </c>
      <c r="G14" s="21">
        <f>1/(1+Assumptions!$B$26)^(6-0.5*Assumptions!$B$32)</f>
        <v>0.7007002061830702</v>
      </c>
      <c r="H14" s="21">
        <f>1/(1+Assumptions!$B$26)^(7-0.5*Assumptions!$B$32)</f>
        <v>0.6568212560457687</v>
      </c>
      <c r="I14" s="21">
        <f>1/(1+Assumptions!$B$26)^(8-0.5*Assumptions!$B$32)</f>
        <v>0.6156900748518217</v>
      </c>
      <c r="J14" s="21">
        <f>1/(1+Assumptions!$B$26)^(9-0.5*Assumptions!$B$32)</f>
        <v>0.5771345929837371</v>
      </c>
      <c r="K14" s="21">
        <f>1/(1+Assumptions!$B$26)^(10-0.5*Assumptions!$B$32)</f>
        <v>0.5409935160943881</v>
      </c>
    </row>
    <row r="15" spans="1:11" x14ac:dyDescent="0.25">
      <c r="A15" s="19" t="s">
        <v>58</v>
      </c>
      <c r="B15" s="20">
        <f>B13*B14</f>
        <v>9137043476.387167</v>
      </c>
      <c r="C15" s="20">
        <f>C13*C14</f>
        <v>8849643281.849644</v>
      </c>
      <c r="D15" s="20">
        <f>D13*D14</f>
        <v>8489393997.391803</v>
      </c>
      <c r="E15" s="20">
        <f>E13*E14</f>
        <v>8143891184.963113</v>
      </c>
      <c r="F15" s="20">
        <f>F13*F14</f>
        <v>7812527859.476524</v>
      </c>
      <c r="G15" s="20">
        <f>G13*G14</f>
        <v>7494722158.469274</v>
      </c>
      <c r="H15" s="20">
        <f>H13*H14</f>
        <v>7189916296.57088</v>
      </c>
      <c r="I15" s="20">
        <f>I13*I14</f>
        <v>6897575563.721368</v>
      </c>
      <c r="J15" s="20">
        <f>J13*J14</f>
        <v>6617187365.299002</v>
      </c>
      <c r="K15" s="20">
        <f>K13*K14</f>
        <v>6348260302.394761</v>
      </c>
    </row>
    <row r="17" spans="1:2" x14ac:dyDescent="0.25">
      <c r="A17" s="22" t="s">
        <v>59</v>
      </c>
      <c r="B17" s="23">
        <f>SUM(B15:K15)</f>
        <v>76980161486.52353</v>
      </c>
    </row>
    <row r="19" spans="1:11" x14ac:dyDescent="0.25">
      <c r="A19" t="s">
        <v>7</v>
      </c>
      <c r="B19" s="9">
        <f>Assumptions!$B$10+($B$20-Assumptions!$B$10)*0/9</f>
        <v>0.05637468274508036</v>
      </c>
      <c r="C19" s="9">
        <f>Assumptions!$B$10+($B$20-Assumptions!$B$10)*1/9</f>
        <v>0.0565177465843782</v>
      </c>
      <c r="D19" s="9">
        <f>Assumptions!$B$10+($B$20-Assumptions!$B$10)*2/9</f>
        <v>0.056660810423676045</v>
      </c>
      <c r="E19" s="9">
        <f>Assumptions!$B$10+($B$20-Assumptions!$B$10)*3/9</f>
        <v>0.05680387426297388</v>
      </c>
      <c r="F19" s="9">
        <f>Assumptions!$B$10+($B$20-Assumptions!$B$10)*4/9</f>
        <v>0.05694693810227172</v>
      </c>
      <c r="G19" s="9">
        <f>Assumptions!$B$10+($B$20-Assumptions!$B$10)*5/9</f>
        <v>0.05709000194156957</v>
      </c>
      <c r="H19" s="9">
        <f>Assumptions!$B$10+($B$20-Assumptions!$B$10)*6/9</f>
        <v>0.057233065780867405</v>
      </c>
      <c r="I19" s="9">
        <f>Assumptions!$B$10+($B$20-Assumptions!$B$10)*7/9</f>
        <v>0.057376129620165243</v>
      </c>
      <c r="J19" s="9">
        <f>Assumptions!$B$10+($B$20-Assumptions!$B$10)*8/9</f>
        <v>0.05751919345946309</v>
      </c>
      <c r="K19" s="9">
        <f>Assumptions!$B$10+($B$20-Assumptions!$B$10)*9/9</f>
        <v>0.05766225729876093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0.05766225729876093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11734448035.948677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13941084603.826412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0.15161603468450832</v>
      </c>
    </row>
    <row r="7" spans="1:2" x14ac:dyDescent="0.25">
      <c r="A7" t="s">
        <v>66</v>
      </c>
      <c r="B7" s="18">
        <f>-MAX(B5,0)*B6</f>
        <v>-2113691966.8334103</v>
      </c>
    </row>
    <row r="8" spans="1:2" x14ac:dyDescent="0.25">
      <c r="A8" t="s">
        <v>67</v>
      </c>
      <c r="B8" s="18">
        <f>IF(OR(Assumptions!$B$33=0,Assumptions!B12&lt;=0),B5,MAX(B5+B7,0))</f>
        <v>11827392636.993002</v>
      </c>
    </row>
    <row r="9" spans="1:2" x14ac:dyDescent="0.25">
      <c r="A9" t="s">
        <v>68</v>
      </c>
      <c r="B9" s="18">
        <f>B8*(1+Assumptions!B12)/(Assumptions!B26-Assumptions!B12)</f>
        <v>289991023746.76764</v>
      </c>
    </row>
    <row r="10" spans="1:2" x14ac:dyDescent="0.25">
      <c r="A10" t="s">
        <v>69</v>
      </c>
      <c r="B10" s="18">
        <f>B9/(1+Assumptions!B26)^(10-0.5*Assumptions!B32)</f>
        <v>156883263572.575</v>
      </c>
    </row>
    <row r="11" spans="1:2" x14ac:dyDescent="0.25">
      <c r="A11" t="s">
        <v>70</v>
      </c>
      <c r="B11" s="18">
        <f>Forecast!B17+B10</f>
        <v>233863425059.09854</v>
      </c>
    </row>
    <row r="12" spans="1:2" x14ac:dyDescent="0.25">
      <c r="A12" t="s">
        <v>71</v>
      </c>
      <c r="B12" s="18">
        <f>-Assumptions!B30</f>
        <v>-40371000000</v>
      </c>
    </row>
    <row r="13" spans="1:2" x14ac:dyDescent="0.25">
      <c r="A13" t="s">
        <v>72</v>
      </c>
      <c r="B13" s="18">
        <f>B11+B12</f>
        <v>193492425059.09854</v>
      </c>
    </row>
    <row r="14" spans="1:2" x14ac:dyDescent="0.25">
      <c r="A14" s="19" t="s">
        <v>73</v>
      </c>
      <c r="B14" s="24">
        <f>B13/Assumptions!B31</f>
        <v>140.92674804013004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22292794131.288296</v>
      </c>
    </row>
    <row r="18" spans="1:2" x14ac:dyDescent="0.25">
      <c r="A18" t="s">
        <v>68</v>
      </c>
      <c r="B18" s="18">
        <f>B17*Assumptions!B13</f>
        <v>287072060184.27625</v>
      </c>
    </row>
    <row r="19" spans="1:2" x14ac:dyDescent="0.25">
      <c r="A19" t="s">
        <v>69</v>
      </c>
      <c r="B19" s="18">
        <f>B18/(1+Assumptions!B26)^(10-0.5*Assumptions!B32)</f>
        <v>155304123211.5514</v>
      </c>
    </row>
    <row r="20" spans="1:2" x14ac:dyDescent="0.25">
      <c r="A20" t="s">
        <v>70</v>
      </c>
      <c r="B20" s="18">
        <f>Forecast!B17+B19</f>
        <v>232284284698.07492</v>
      </c>
    </row>
    <row r="21" spans="1:2" x14ac:dyDescent="0.25">
      <c r="A21" t="s">
        <v>71</v>
      </c>
      <c r="B21" s="18">
        <f>-Assumptions!B30</f>
        <v>-40371000000</v>
      </c>
    </row>
    <row r="22" spans="1:2" x14ac:dyDescent="0.25">
      <c r="A22" t="s">
        <v>72</v>
      </c>
      <c r="B22" s="18">
        <f>B20+B21</f>
        <v>191913284698.07492</v>
      </c>
    </row>
    <row r="23" spans="1:2" x14ac:dyDescent="0.25">
      <c r="A23" s="19" t="s">
        <v>73</v>
      </c>
      <c r="B23" s="25">
        <f>B22/Assumptions!B31</f>
        <v>139.77660939408224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137.34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140.92674804013004</v>
      </c>
    </row>
    <row r="29" spans="1:2" x14ac:dyDescent="0.25">
      <c r="A29" s="19" t="s">
        <v>81</v>
      </c>
      <c r="B29" s="11">
        <f>B28/B26-1</f>
        <v>0.026115829620868114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0.046805</v>
      </c>
      <c r="B5" s="31">
        <v>224.78141192289914</v>
      </c>
      <c r="C5" s="31">
        <v>252.8336721188134</v>
      </c>
      <c r="D5" s="31">
        <v>294.14369262177416</v>
      </c>
      <c r="E5" s="31">
        <v>360.5452374666339</v>
      </c>
      <c r="F5" s="31">
        <v>483.92080264055807</v>
      </c>
    </row>
    <row r="6" spans="1:6" x14ac:dyDescent="0.25">
      <c r="A6" s="30">
        <v>0.056805</v>
      </c>
      <c r="B6" s="31">
        <v>163.7669918737367</v>
      </c>
      <c r="C6" s="31">
        <v>176.4817772858043</v>
      </c>
      <c r="D6" s="31">
        <v>193.4484395449796</v>
      </c>
      <c r="E6" s="31">
        <v>217.04631656234716</v>
      </c>
      <c r="F6" s="31">
        <v>251.83712452102463</v>
      </c>
    </row>
    <row r="7" spans="1:6" x14ac:dyDescent="0.25">
      <c r="A7" s="30">
        <v>0.066805</v>
      </c>
      <c r="B7" s="31">
        <v>126.35842489712118</v>
      </c>
      <c r="C7" s="31">
        <v>132.78287987030117</v>
      </c>
      <c r="D7" s="32">
        <v>140.9267853153694</v>
      </c>
      <c r="E7" s="31">
        <v>151.49090898340114</v>
      </c>
      <c r="F7" s="31">
        <v>165.61668377313725</v>
      </c>
    </row>
    <row r="8" spans="1:6" x14ac:dyDescent="0.25">
      <c r="A8" s="30">
        <v>0.076805</v>
      </c>
      <c r="B8" s="31">
        <v>101.09391806679794</v>
      </c>
      <c r="C8" s="31">
        <v>104.49011603993246</v>
      </c>
      <c r="D8" s="31">
        <v>108.68129595436709</v>
      </c>
      <c r="E8" s="31">
        <v>113.92223249484714</v>
      </c>
      <c r="F8" s="31">
        <v>120.58958752934724</v>
      </c>
    </row>
    <row r="9" spans="1:6" x14ac:dyDescent="0.25">
      <c r="A9" s="30">
        <v>0.086805</v>
      </c>
      <c r="B9" s="31">
        <v>82.89691955618066</v>
      </c>
      <c r="C9" s="31">
        <v>84.6834836573136</v>
      </c>
      <c r="D9" s="31">
        <v>86.86971066595035</v>
      </c>
      <c r="E9" s="31">
        <v>89.56113607390601</v>
      </c>
      <c r="F9" s="31">
        <v>92.90403873437592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93925000000</v>
      </c>
      <c r="C5" s="18">
        <v>91854000000</v>
      </c>
      <c r="D5" s="18">
        <v>91471000000</v>
      </c>
      <c r="E5" s="18">
        <v>86392000000</v>
      </c>
      <c r="F5" s="6" t="s">
        <v>91</v>
      </c>
    </row>
    <row r="6" spans="1:6" x14ac:dyDescent="0.25">
      <c r="A6" t="s">
        <v>51</v>
      </c>
      <c r="B6" s="18">
        <v>13491000000</v>
      </c>
      <c r="C6" s="18">
        <v>12920000000</v>
      </c>
      <c r="D6" s="18">
        <v>12913000000</v>
      </c>
      <c r="E6" s="18">
        <v>11357000000</v>
      </c>
      <c r="F6" s="6" t="s">
        <v>92</v>
      </c>
    </row>
    <row r="7" spans="1:6" x14ac:dyDescent="0.25">
      <c r="A7" t="s">
        <v>93</v>
      </c>
      <c r="B7" s="18">
        <v>4178000000</v>
      </c>
      <c r="C7" s="18">
        <v>3815000000</v>
      </c>
      <c r="D7" s="18">
        <v>3518000000</v>
      </c>
      <c r="E7" s="18">
        <v>3280000000</v>
      </c>
      <c r="F7" s="6" t="s">
        <v>94</v>
      </c>
    </row>
    <row r="8" spans="1:6" x14ac:dyDescent="0.25">
      <c r="A8" t="s">
        <v>95</v>
      </c>
      <c r="B8" s="18">
        <v>4415000000</v>
      </c>
      <c r="C8" s="18">
        <v>5318000000</v>
      </c>
      <c r="D8" s="18">
        <v>5518000000</v>
      </c>
      <c r="E8" s="18">
        <v>5207000000</v>
      </c>
      <c r="F8" s="6" t="s">
        <v>96</v>
      </c>
    </row>
    <row r="9" spans="1:6" x14ac:dyDescent="0.25">
      <c r="A9" t="s">
        <v>97</v>
      </c>
      <c r="B9" s="18">
        <v>1645000000</v>
      </c>
      <c r="C9" s="18">
        <v>1478000000</v>
      </c>
      <c r="D9" s="18">
        <v>337000000</v>
      </c>
      <c r="E9" s="18">
        <v>888000000</v>
      </c>
      <c r="F9" s="6" t="s">
        <v>98</v>
      </c>
    </row>
    <row r="10" spans="1:6" x14ac:dyDescent="0.25">
      <c r="A10" t="s">
        <v>99</v>
      </c>
      <c r="B10" s="18">
        <v>49901000000</v>
      </c>
      <c r="C10" s="18">
        <v>44948000000</v>
      </c>
      <c r="D10" s="18">
        <v>44661000000</v>
      </c>
      <c r="E10" s="18">
        <v>39554000000</v>
      </c>
      <c r="F10" s="6" t="s">
        <v>100</v>
      </c>
    </row>
    <row r="11" spans="1:6" x14ac:dyDescent="0.25">
      <c r="A11" t="s">
        <v>101</v>
      </c>
      <c r="B11" s="18">
        <v>9530000000</v>
      </c>
      <c r="C11" s="18">
        <v>9266000000</v>
      </c>
      <c r="D11" s="18">
        <v>10003000000</v>
      </c>
      <c r="E11" s="18">
        <v>5348000000</v>
      </c>
      <c r="F11" s="6" t="s">
        <v>102</v>
      </c>
    </row>
    <row r="12" spans="1:6" x14ac:dyDescent="0.25">
      <c r="A12" t="s">
        <v>34</v>
      </c>
      <c r="B12" s="34">
        <v>1373000000</v>
      </c>
      <c r="C12" s="34">
        <v>1378000000</v>
      </c>
      <c r="D12" s="34">
        <v>1383000000</v>
      </c>
      <c r="E12" s="34">
        <v>1387000000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