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<sst xmlns="http://schemas.openxmlformats.org/spreadsheetml/2006/main" count="120" uniqueCount="107">
  <si>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Pfizer Inc. (PFE)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</si>
  <si>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</si>
  <si>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</si>
  <si>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</si>
  <si>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</si>
  <si>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</si>
  <si>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</si>
  <si>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</si>
  <si>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</si>
  <si>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</si>
  <si>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</si>
  <si>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</si>
  <si>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</si>
  <si>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</si>
  <si>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</si>
  <si>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</si>
  <si>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</si>
  <si>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</si>
  <si>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</si>
  <si>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</si>
  <si>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</si>
  <si>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</si>
  <si>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</si>
  <si>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</si>
  <si>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6.5x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</si>
  <si>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</si>
  <si>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</si>
  <si>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</si>
  <si>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</si>
  <si>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</si>
  <si>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</si>
  <si>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</si>
  <si>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</si>
  <si>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</si>
  <si>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</si>
  <si>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</si>
  <si>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</si>
  <si>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</si>
  <si>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</si>
  <si>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</si>
  <si>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</si>
  <si>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</si>
  <si>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</si>
  <si>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</si>
  <si>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</si>
  <si>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</si>
  <si>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</si>
  <si>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</si>
  <si>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</si>
  <si>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</si>
  <si>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</si>
  <si>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</si>
  <si>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</si>
  <si>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</si>
  <si>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</si>
  <si>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</si>
  <si>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</si>
  <si>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</si>
  <si>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</si>
  <si>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</si>
  <si>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</si>
  <si>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</si>
  <si>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</si>
  <si>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</si>
  <si>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</si>
  <si>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</si>
  <si>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</si>
  <si>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</si>
  <si>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</si>
  <si>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</si>
  <si>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</si>
  <si>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</si>
  <si>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</si>
  <si>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</si>
  <si>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</si>
  <si>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</si>
  <si>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</si>
  <si>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</si>
  <si>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</si>
  <si>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</si>
  <si>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</si>
  <si>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</si>
  <si>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</si>
  <si>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</si>
  <si>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</si>
  <si>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</si>
  <si>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</si>
  <si>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</si>
  <si>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</si>
  <si>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</si>
  <si>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</si>
  <si>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</si>
  <si>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</si>
  <si>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</si>
  <si>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</si>
  <si>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</si>
  <si>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</si>
  <si>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</si>
  <si>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</si>
  <si>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</si>
  <si>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</si>
  <si>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</si>
  <si>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</si>
  <si>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</si>
  <si>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</si>
  <si>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4.63% of revenue against depreciation and amortisation of 9.28%. A business cannot depreciate more than it invests indefinitely. Capex has been set to 9.28%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</si>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</sst>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-0.0055397881078317335</v>
      </c>
    </row>
    <row r="7" spans="1:2" x14ac:dyDescent="0.25">
      <c r="A7" t="s">
        <v>4</v>
      </c>
      <c r="B7" s="5">
        <v>0.24096154981548454</v>
      </c>
    </row>
    <row r="8" spans="1:2" x14ac:dyDescent="0.25">
      <c r="A8" t="s">
        <v>5</v>
      </c>
      <c r="B8" s="5">
        <v>0.09582769443404647</v>
      </c>
    </row>
    <row r="9" spans="1:2" x14ac:dyDescent="0.25">
      <c r="A9" t="s">
        <v>6</v>
      </c>
      <c r="B9" s="5">
        <v>0.09280741904671051</v>
      </c>
    </row>
    <row r="10" spans="1:3" x14ac:dyDescent="0.25">
      <c r="A10" t="s">
        <v>7</v>
      </c>
      <c r="B10" s="5">
        <v>0.09280741904671051</v>
      </c>
      <c r="C10" s="6" t="s">
        <v>8</v>
      </c>
    </row>
    <row r="11" spans="1:2" x14ac:dyDescent="0.25">
      <c r="A11" t="s">
        <v>9</v>
      </c>
      <c r="B11" s="5">
        <v>0.2573982216895718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9.34701611767157</v>
      </c>
    </row>
    <row r="14" spans="1:3" x14ac:dyDescent="0.25">
      <c r="A14" t="s">
        <v>12</v>
      </c>
      <c r="B14" s="5">
        <v>0.09678335643773774</v>
      </c>
      <c r="C14" s="6" t="s">
        <v>13</v>
      </c>
    </row>
    <row r="15" spans="1:3" x14ac:dyDescent="0.25">
      <c r="A15" t="s">
        <v>14</v>
      </c>
      <c r="B15" s="5">
        <v>0.09280741904671051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0.51492</v>
      </c>
      <c r="C19" s="6" t="s">
        <v>21</v>
      </c>
    </row>
    <row r="20" spans="1:2" x14ac:dyDescent="0.25">
      <c r="A20" t="s">
        <v>22</v>
      </c>
      <c r="B20" s="9">
        <f>B17+B19*B18</f>
        <v>0.070721116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173954039808</v>
      </c>
    </row>
    <row r="23" spans="1:2" x14ac:dyDescent="0.25">
      <c r="A23" t="s">
        <v>26</v>
      </c>
      <c r="B23" s="10">
        <v>63961000000</v>
      </c>
    </row>
    <row r="24" spans="1:2" x14ac:dyDescent="0.25">
      <c r="A24" t="s">
        <v>27</v>
      </c>
      <c r="B24" s="9">
        <f>B22/(B22+B23)</f>
        <v>0.7311603333205954</v>
      </c>
    </row>
    <row r="25" spans="1:2" x14ac:dyDescent="0.25">
      <c r="A25" t="s">
        <v>28</v>
      </c>
      <c r="B25" s="9">
        <f>1-B24</f>
        <v>0.2688396666794046</v>
      </c>
    </row>
    <row r="26" spans="1:2" x14ac:dyDescent="0.25">
      <c r="A26" t="s">
        <v>29</v>
      </c>
      <c r="B26" s="11">
        <f>B24*B20+B25*B21*(1-B8)</f>
        <v>0.06494160738256548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62579000000</v>
      </c>
      <c r="C29" s="6" t="s">
        <v>32</v>
      </c>
    </row>
    <row r="30" spans="1:2" x14ac:dyDescent="0.25">
      <c r="A30" t="s">
        <v>33</v>
      </c>
      <c r="B30" s="10">
        <v>50365000000</v>
      </c>
    </row>
    <row r="31" spans="1:2" x14ac:dyDescent="0.25">
      <c r="A31" t="s">
        <v>34</v>
      </c>
      <c r="B31" s="12">
        <v>5713000000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-0.0055397881078317335</v>
      </c>
      <c r="C5" s="5">
        <v>-0.03764883920712747</v>
      </c>
      <c r="D5" s="5">
        <v>-0.029817734306236538</v>
      </c>
      <c r="E5" s="5">
        <v>-0.021986629405345605</v>
      </c>
      <c r="F5" s="5">
        <v>-0.014155524504454672</v>
      </c>
      <c r="G5" s="5">
        <v>-0.0063244196035637384</v>
      </c>
      <c r="H5" s="5">
        <v>0.0015066852973271982</v>
      </c>
      <c r="I5" s="5">
        <v>0.009337790198218128</v>
      </c>
      <c r="J5" s="5">
        <v>0.017168895099109058</v>
      </c>
      <c r="K5" s="5">
        <v>0.024999999999999994</v>
      </c>
    </row>
    <row r="6" spans="1:11" x14ac:dyDescent="0.25">
      <c r="A6" t="s">
        <v>50</v>
      </c>
      <c r="B6" s="18">
        <f>Assumptions!B29*(1+B5)</f>
        <v>62232325600</v>
      </c>
      <c r="C6" s="18">
        <f>B6*(1+C5)</f>
        <v>59889350780</v>
      </c>
      <c r="D6" s="18">
        <f>C6*(1+D5)</f>
        <v>58103586030.66896</v>
      </c>
      <c r="E6" s="18">
        <f>D6*(1+E5)</f>
        <v>56826084017.49103</v>
      </c>
      <c r="F6" s="18">
        <f>E6*(1+F5)</f>
        <v>56021680992.68923</v>
      </c>
      <c r="G6" s="18">
        <f>F6*(1+G5)</f>
        <v>55667376375.19447</v>
      </c>
      <c r="H6" s="18">
        <f>G6*(1+H5)</f>
        <v>55751249592.71976</v>
      </c>
      <c r="I6" s="18">
        <f>H6*(1+I5)</f>
        <v>56271843064.70507</v>
      </c>
      <c r="J6" s="18">
        <f>I6*(1+J5)</f>
        <v>57237968435.31652</v>
      </c>
      <c r="K6" s="18">
        <f>J6*(1+K5)</f>
        <v>58668917646.19943</v>
      </c>
    </row>
    <row r="7" spans="1:11" x14ac:dyDescent="0.25">
      <c r="A7" t="s">
        <v>4</v>
      </c>
      <c r="B7" s="9">
        <f>Assumptions!B7</f>
        <v>0.24096154981548454</v>
      </c>
      <c r="C7" s="9">
        <f>Assumptions!B7</f>
        <v>0.24096154981548454</v>
      </c>
      <c r="D7" s="9">
        <f>Assumptions!B7</f>
        <v>0.24096154981548454</v>
      </c>
      <c r="E7" s="9">
        <f>Assumptions!B7</f>
        <v>0.24096154981548454</v>
      </c>
      <c r="F7" s="9">
        <f>Assumptions!B7</f>
        <v>0.24096154981548454</v>
      </c>
      <c r="G7" s="9">
        <f>Assumptions!B7</f>
        <v>0.24096154981548454</v>
      </c>
      <c r="H7" s="9">
        <f>Assumptions!B7</f>
        <v>0.24096154981548454</v>
      </c>
      <c r="I7" s="9">
        <f>Assumptions!B7</f>
        <v>0.24096154981548454</v>
      </c>
      <c r="J7" s="9">
        <f>Assumptions!B7</f>
        <v>0.24096154981548454</v>
      </c>
      <c r="K7" s="9">
        <f>Assumptions!B7</f>
        <v>0.24096154981548454</v>
      </c>
    </row>
    <row r="8" spans="1:11" x14ac:dyDescent="0.25">
      <c r="A8" t="s">
        <v>51</v>
      </c>
      <c r="B8" s="18">
        <f>B6*B7</f>
        <v>14995597625.197853</v>
      </c>
      <c r="C8" s="18">
        <f>C6*C7</f>
        <v>14431030781.391998</v>
      </c>
      <c r="D8" s="18">
        <f>D6*D7</f>
        <v>14000730139.78733</v>
      </c>
      <c r="E8" s="18">
        <f>E6*E7</f>
        <v>13692901274.799574</v>
      </c>
      <c r="F8" s="18">
        <f>F6*F7</f>
        <v>13499071075.267069</v>
      </c>
      <c r="G8" s="18">
        <f>G6*G7</f>
        <v>13413697285.52875</v>
      </c>
      <c r="H8" s="18">
        <f>H6*H7</f>
        <v>13433907506.011654</v>
      </c>
      <c r="I8" s="18">
        <f>I6*I7</f>
        <v>13559350515.845058</v>
      </c>
      <c r="J8" s="18">
        <f>J6*J7</f>
        <v>13792149582.463654</v>
      </c>
      <c r="K8" s="18">
        <f>K6*K7</f>
        <v>14136953322.025244</v>
      </c>
    </row>
    <row r="9" spans="1:11" x14ac:dyDescent="0.25">
      <c r="A9" t="s">
        <v>52</v>
      </c>
      <c r="B9" s="18">
        <f>B8*(1-Assumptions!B8)</f>
        <v>13558604078.114481</v>
      </c>
      <c r="C9" s="18">
        <f>C8*(1-Assumptions!B8)</f>
        <v>13048138373.304447</v>
      </c>
      <c r="D9" s="18">
        <f>D8*(1-Assumptions!B8)</f>
        <v>12659072450.098246</v>
      </c>
      <c r="E9" s="18">
        <f>E8*(1-Assumptions!B8)</f>
        <v>12380742115.522514</v>
      </c>
      <c r="F9" s="18">
        <f>F8*(1-Assumptions!B8)</f>
        <v>12205486217.1229</v>
      </c>
      <c r="G9" s="18">
        <f>G8*(1-Assumptions!B8)</f>
        <v>12128293600.820301</v>
      </c>
      <c r="H9" s="18">
        <f>H8*(1-Assumptions!B8)</f>
        <v>12146567122.470325</v>
      </c>
      <c r="I9" s="18">
        <f>I8*(1-Assumptions!B8)</f>
        <v>12259989217.888527</v>
      </c>
      <c r="J9" s="18">
        <f>J8*(1-Assumptions!B8)</f>
        <v>12470479686.686665</v>
      </c>
      <c r="K9" s="18">
        <f>K8*(1-Assumptions!B8)</f>
        <v>12782241678.85383</v>
      </c>
    </row>
    <row r="10" spans="1:11" x14ac:dyDescent="0.25">
      <c r="A10" t="s">
        <v>53</v>
      </c>
      <c r="B10" s="18">
        <f>B6*Assumptions!B9</f>
        <v>5775621520.21053</v>
      </c>
      <c r="C10" s="18">
        <f>C6*Assumptions!B9</f>
        <v>5558176074.2748995</v>
      </c>
      <c r="D10" s="18">
        <f>D6*Assumptions!B9</f>
        <v>5392443856.864889</v>
      </c>
      <c r="E10" s="18">
        <f>E6*Assumptions!B9</f>
        <v>5273882192.194869</v>
      </c>
      <c r="F10" s="18">
        <f>F6*Assumptions!B9</f>
        <v>5199227623.589647</v>
      </c>
      <c r="G10" s="18">
        <f>G6*Assumptions!B9</f>
        <v>5166345526.483626</v>
      </c>
      <c r="H10" s="18">
        <f>H6*Assumptions!B9</f>
        <v>5174129583.329291</v>
      </c>
      <c r="I10" s="18">
        <f>I6*Assumptions!B9</f>
        <v>5222444519.836814</v>
      </c>
      <c r="J10" s="18">
        <f>J6*Assumptions!B9</f>
        <v>5312108121.95881</v>
      </c>
      <c r="K10" s="18">
        <f>K6*Assumptions!B9</f>
        <v>5444910825.00778</v>
      </c>
    </row>
    <row r="11" spans="1:11" x14ac:dyDescent="0.25">
      <c r="A11" t="s">
        <v>54</v>
      </c>
      <c r="B11" s="18">
        <f>-B6*B19</f>
        <v>-5775621520.21053</v>
      </c>
      <c r="C11" s="18">
        <f>-C6*C19</f>
        <v>-5932670513.699011</v>
      </c>
      <c r="D11" s="18">
        <f>-D6*D19</f>
        <v>-6119099584.32529</v>
      </c>
      <c r="E11" s="18">
        <f>-E6*E19</f>
        <v>-6339900718.108055</v>
      </c>
      <c r="F11" s="18">
        <f>-F6*F19</f>
        <v>-6600465589.652873</v>
      </c>
      <c r="G11" s="18">
        <f>-G6*G19</f>
        <v>-6906815462.9853735</v>
      </c>
      <c r="H11" s="18">
        <f>-H6*H19</f>
        <v>-7265840315.687907</v>
      </c>
      <c r="I11" s="18">
        <f>-I6*I19</f>
        <v>-7685560989.558347</v>
      </c>
      <c r="J11" s="18">
        <f>-J6*J19</f>
        <v>-8175428645.395461</v>
      </c>
      <c r="K11" s="18">
        <f>-K6*K19</f>
        <v>-8746677303.595669</v>
      </c>
    </row>
    <row r="12" spans="1:11" x14ac:dyDescent="0.25">
      <c r="A12" t="s">
        <v>55</v>
      </c>
      <c r="B12" s="18">
        <f>-(B6-Assumptions!B29)*Assumptions!B11</f>
        <v>89233374.0652993</v>
      </c>
      <c r="C12" s="18">
        <f>-(C6-B6)*Assumptions!B11</f>
        <v>603077552.1314447</v>
      </c>
      <c r="D12" s="18">
        <f>-(D6-C6)*Assumptions!B11</f>
        <v>459652670.83373356</v>
      </c>
      <c r="E12" s="18">
        <f>-(E6-D6)*Assumptions!B11</f>
        <v>328826746.39684784</v>
      </c>
      <c r="F12" s="18">
        <f>-(F6-E6)*Assumptions!B11</f>
        <v>207051908.10569483</v>
      </c>
      <c r="G12" s="18">
        <f>-(G6-F6)*Assumptions!B11</f>
        <v>91197378.47955482</v>
      </c>
      <c r="H12" s="18">
        <f>-(H6-G6)*Assumptions!B11</f>
        <v>-21588817.038390685</v>
      </c>
      <c r="I12" s="18">
        <f>-(I6-H6)*Assumptions!B11</f>
        <v>-133999833.9122196</v>
      </c>
      <c r="J12" s="18">
        <f>-(J6-I6)*Assumptions!B11</f>
        <v>-248678952.3245658</v>
      </c>
      <c r="K12" s="18">
        <f>-(K6-J6)*Assumptions!B11</f>
        <v>-368323782.20935756</v>
      </c>
    </row>
    <row r="13" spans="1:11" x14ac:dyDescent="0.25">
      <c r="A13" s="19" t="s">
        <v>56</v>
      </c>
      <c r="B13" s="20">
        <f>B9+B10+B11+B12</f>
        <v>13647837452.179783</v>
      </c>
      <c r="C13" s="20">
        <f>C9+C10+C11+C12</f>
        <v>13276721486.01178</v>
      </c>
      <c r="D13" s="20">
        <f>D9+D10+D11+D12</f>
        <v>12392069393.471577</v>
      </c>
      <c r="E13" s="20">
        <f>E9+E10+E11+E12</f>
        <v>11643550336.006178</v>
      </c>
      <c r="F13" s="20">
        <f>F9+F10+F11+F12</f>
        <v>11011300159.165369</v>
      </c>
      <c r="G13" s="20">
        <f>G9+G10+G11+G12</f>
        <v>10479021042.79811</v>
      </c>
      <c r="H13" s="20">
        <f>H9+H10+H11+H12</f>
        <v>10033267573.073318</v>
      </c>
      <c r="I13" s="20">
        <f>I9+I10+I11+I12</f>
        <v>9662872914.254776</v>
      </c>
      <c r="J13" s="20">
        <f>J9+J10+J11+J12</f>
        <v>9358480210.925446</v>
      </c>
      <c r="K13" s="20">
        <f>K9+K10+K11+K12</f>
        <v>9112151418.056583</v>
      </c>
    </row>
    <row r="14" spans="1:11" x14ac:dyDescent="0.25">
      <c r="A14" t="s">
        <v>57</v>
      </c>
      <c r="B14" s="21">
        <f>1/(1+Assumptions!$B$26)^(1-0.5*Assumptions!$B$32)</f>
        <v>0.9690297319310234</v>
      </c>
      <c r="C14" s="21">
        <f>1/(1+Assumptions!$B$26)^(2-0.5*Assumptions!$B$32)</f>
        <v>0.9099369629408356</v>
      </c>
      <c r="D14" s="21">
        <f>1/(1+Assumptions!$B$26)^(3-0.5*Assumptions!$B$32)</f>
        <v>0.8544477524709515</v>
      </c>
      <c r="E14" s="21">
        <f>1/(1+Assumptions!$B$26)^(4-0.5*Assumptions!$B$32)</f>
        <v>0.802342350554816</v>
      </c>
      <c r="F14" s="21">
        <f>1/(1+Assumptions!$B$26)^(5-0.5*Assumptions!$B$32)</f>
        <v>0.7534144078817888</v>
      </c>
      <c r="G14" s="21">
        <f>1/(1+Assumptions!$B$26)^(6-0.5*Assumptions!$B$32)</f>
        <v>0.707470158606673</v>
      </c>
      <c r="H14" s="21">
        <f>1/(1+Assumptions!$B$26)^(7-0.5*Assumptions!$B$32)</f>
        <v>0.6643276529926435</v>
      </c>
      <c r="I14" s="21">
        <f>1/(1+Assumptions!$B$26)^(8-0.5*Assumptions!$B$32)</f>
        <v>0.6238160368486692</v>
      </c>
      <c r="J14" s="21">
        <f>1/(1+Assumptions!$B$26)^(9-0.5*Assumptions!$B$32)</f>
        <v>0.5857748749078332</v>
      </c>
      <c r="K14" s="21">
        <f>1/(1+Assumptions!$B$26)^(10-0.5*Assumptions!$B$32)</f>
        <v>0.5500535154669769</v>
      </c>
    </row>
    <row r="15" spans="1:11" x14ac:dyDescent="0.25">
      <c r="A15" s="19" t="s">
        <v>58</v>
      </c>
      <c r="B15" s="20">
        <f>B13*B14</f>
        <v>13225160267.723955</v>
      </c>
      <c r="C15" s="20">
        <f>C13*C14</f>
        <v>12080979626.792896</v>
      </c>
      <c r="D15" s="20">
        <f>D13*D14</f>
        <v>10588375841.715857</v>
      </c>
      <c r="E15" s="20">
        <f>E13*E14</f>
        <v>9342113545.394514</v>
      </c>
      <c r="F15" s="20">
        <f>F13*F14</f>
        <v>8296072189.426224</v>
      </c>
      <c r="G15" s="20">
        <f>G13*G14</f>
        <v>7413594679.191042</v>
      </c>
      <c r="H15" s="20">
        <f>H13*H14</f>
        <v>6665377098.666994</v>
      </c>
      <c r="I15" s="20">
        <f>I13*I14</f>
        <v>6027855085.942764</v>
      </c>
      <c r="J15" s="20">
        <f>J13*J14</f>
        <v>5481962574.882285</v>
      </c>
      <c r="K15" s="20">
        <f>K13*K14</f>
        <v>5012170920.969422</v>
      </c>
    </row>
    <row r="17" spans="1:2" x14ac:dyDescent="0.25">
      <c r="A17" s="22" t="s">
        <v>59</v>
      </c>
      <c r="B17" s="23">
        <f>SUM(B15:K15)</f>
        <v>84133661830.70595</v>
      </c>
    </row>
    <row r="19" spans="1:11" x14ac:dyDescent="0.25">
      <c r="A19" t="s">
        <v>7</v>
      </c>
      <c r="B19" s="9">
        <f>Assumptions!$B$10+($B$20-Assumptions!$B$10)*0/9</f>
        <v>0.09280741904671051</v>
      </c>
      <c r="C19" s="9">
        <f>Assumptions!$B$10+($B$20-Assumptions!$B$10)*1/9</f>
        <v>0.09906052472487682</v>
      </c>
      <c r="D19" s="9">
        <f>Assumptions!$B$10+($B$20-Assumptions!$B$10)*2/9</f>
        <v>0.10531363040304312</v>
      </c>
      <c r="E19" s="9">
        <f>Assumptions!$B$10+($B$20-Assumptions!$B$10)*3/9</f>
        <v>0.11156673608120943</v>
      </c>
      <c r="F19" s="9">
        <f>Assumptions!$B$10+($B$20-Assumptions!$B$10)*4/9</f>
        <v>0.11781984175937574</v>
      </c>
      <c r="G19" s="9">
        <f>Assumptions!$B$10+($B$20-Assumptions!$B$10)*5/9</f>
        <v>0.12407294743754205</v>
      </c>
      <c r="H19" s="9">
        <f>Assumptions!$B$10+($B$20-Assumptions!$B$10)*6/9</f>
        <v>0.13032605311570833</v>
      </c>
      <c r="I19" s="9">
        <f>Assumptions!$B$10+($B$20-Assumptions!$B$10)*7/9</f>
        <v>0.13657915879387464</v>
      </c>
      <c r="J19" s="9">
        <f>Assumptions!$B$10+($B$20-Assumptions!$B$10)*8/9</f>
        <v>0.14283226447204095</v>
      </c>
      <c r="K19" s="9">
        <f>Assumptions!$B$10+($B$20-Assumptions!$B$10)*9/9</f>
        <v>0.14908537015020726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0.14908537015020726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9112151418.056583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12782241678.85383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0.25830887582497614</v>
      </c>
    </row>
    <row r="7" spans="1:2" x14ac:dyDescent="0.25">
      <c r="A7" t="s">
        <v>66</v>
      </c>
      <c r="B7" s="18">
        <f>-MAX(B5,0)*B6</f>
        <v>-3301766478.5878887</v>
      </c>
    </row>
    <row r="8" spans="1:2" x14ac:dyDescent="0.25">
      <c r="A8" t="s">
        <v>67</v>
      </c>
      <c r="B8" s="18">
        <f>IF(OR(Assumptions!$B$33=0,Assumptions!B12&lt;=0),B5,MAX(B5+B7,0))</f>
        <v>9480475200.265942</v>
      </c>
    </row>
    <row r="9" spans="1:2" x14ac:dyDescent="0.25">
      <c r="A9" t="s">
        <v>68</v>
      </c>
      <c r="B9" s="18">
        <f>B8*(1+Assumptions!B12)/(Assumptions!B26-Assumptions!B12)</f>
        <v>243292338918.5953</v>
      </c>
    </row>
    <row r="10" spans="1:2" x14ac:dyDescent="0.25">
      <c r="A10" t="s">
        <v>69</v>
      </c>
      <c r="B10" s="18">
        <f>B9/(1+Assumptions!B26)^(10-0.5*Assumptions!B32)</f>
        <v>133823806308.35655</v>
      </c>
    </row>
    <row r="11" spans="1:2" x14ac:dyDescent="0.25">
      <c r="A11" t="s">
        <v>70</v>
      </c>
      <c r="B11" s="18">
        <f>Forecast!B17+B10</f>
        <v>217957468139.0625</v>
      </c>
    </row>
    <row r="12" spans="1:2" x14ac:dyDescent="0.25">
      <c r="A12" t="s">
        <v>71</v>
      </c>
      <c r="B12" s="18">
        <f>-Assumptions!B30</f>
        <v>-50365000000</v>
      </c>
    </row>
    <row r="13" spans="1:2" x14ac:dyDescent="0.25">
      <c r="A13" t="s">
        <v>72</v>
      </c>
      <c r="B13" s="18">
        <f>B11+B12</f>
        <v>167592468139.0625</v>
      </c>
    </row>
    <row r="14" spans="1:2" x14ac:dyDescent="0.25">
      <c r="A14" s="19" t="s">
        <v>73</v>
      </c>
      <c r="B14" s="24">
        <f>B13/Assumptions!B31</f>
        <v>29.335282362867584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19581864147.033024</v>
      </c>
    </row>
    <row r="18" spans="1:2" x14ac:dyDescent="0.25">
      <c r="A18" t="s">
        <v>68</v>
      </c>
      <c r="B18" s="18">
        <f>B17*Assumptions!B13</f>
        <v>183031999796.37274</v>
      </c>
    </row>
    <row r="19" spans="1:2" x14ac:dyDescent="0.25">
      <c r="A19" t="s">
        <v>69</v>
      </c>
      <c r="B19" s="18">
        <f>B18/(1+Assumptions!B26)^(10-0.5*Assumptions!B32)</f>
        <v>100677394930.94583</v>
      </c>
    </row>
    <row r="20" spans="1:2" x14ac:dyDescent="0.25">
      <c r="A20" t="s">
        <v>70</v>
      </c>
      <c r="B20" s="18">
        <f>Forecast!B17+B19</f>
        <v>184811056761.6518</v>
      </c>
    </row>
    <row r="21" spans="1:2" x14ac:dyDescent="0.25">
      <c r="A21" t="s">
        <v>71</v>
      </c>
      <c r="B21" s="18">
        <f>-Assumptions!B30</f>
        <v>-50365000000</v>
      </c>
    </row>
    <row r="22" spans="1:2" x14ac:dyDescent="0.25">
      <c r="A22" t="s">
        <v>72</v>
      </c>
      <c r="B22" s="18">
        <f>B20+B21</f>
        <v>134446056761.6518</v>
      </c>
    </row>
    <row r="23" spans="1:2" x14ac:dyDescent="0.25">
      <c r="A23" s="19" t="s">
        <v>73</v>
      </c>
      <c r="B23" s="25">
        <f>B22/Assumptions!B31</f>
        <v>23.533354938150147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29.335282362867584</v>
      </c>
    </row>
    <row r="29" spans="1:2" x14ac:dyDescent="0.25">
      <c r="A29" s="19" t="s">
        <v>81</v>
      </c>
      <c r="B29" s="11">
        <f>B28/B26-1</f>
        <v>-0.03881774695715645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0.044942</v>
      </c>
      <c r="B5" s="31">
        <v>50.16784739295846</v>
      </c>
      <c r="C5" s="31">
        <v>55.34862659030135</v>
      </c>
      <c r="D5" s="31">
        <v>63.298413168175486</v>
      </c>
      <c r="E5" s="31">
        <v>76.79696289608756</v>
      </c>
      <c r="F5" s="31">
        <v>104.21597636250759</v>
      </c>
    </row>
    <row r="6" spans="1:6" x14ac:dyDescent="0.25">
      <c r="A6" s="30">
        <v>0.054942</v>
      </c>
      <c r="B6" s="31">
        <v>36.185352955783515</v>
      </c>
      <c r="C6" s="31">
        <v>38.06237573953378</v>
      </c>
      <c r="D6" s="31">
        <v>40.67394038616038</v>
      </c>
      <c r="E6" s="31">
        <v>44.46179687333735</v>
      </c>
      <c r="F6" s="31">
        <v>50.31072995727039</v>
      </c>
    </row>
    <row r="7" spans="1:6" x14ac:dyDescent="0.25">
      <c r="A7" s="30">
        <v>0.064942</v>
      </c>
      <c r="B7" s="31">
        <v>27.78304047330739</v>
      </c>
      <c r="C7" s="31">
        <v>28.438752493581223</v>
      </c>
      <c r="D7" s="32">
        <v>29.334947818879996</v>
      </c>
      <c r="E7" s="31">
        <v>30.574861798507566</v>
      </c>
      <c r="F7" s="31">
        <v>32.33068666461044</v>
      </c>
    </row>
    <row r="8" spans="1:6" x14ac:dyDescent="0.25">
      <c r="A8" s="30">
        <v>0.074942</v>
      </c>
      <c r="B8" s="31">
        <v>22.1689903915663</v>
      </c>
      <c r="C8" s="31">
        <v>22.295217861378198</v>
      </c>
      <c r="D8" s="31">
        <v>22.504491066808587</v>
      </c>
      <c r="E8" s="31">
        <v>22.82452764468445</v>
      </c>
      <c r="F8" s="31">
        <v>23.296924174713393</v>
      </c>
    </row>
    <row r="9" spans="1:6" x14ac:dyDescent="0.25">
      <c r="A9" s="30">
        <v>0.084942</v>
      </c>
      <c r="B9" s="31">
        <v>18.14794256499729</v>
      </c>
      <c r="C9" s="31">
        <v>18.025311812681707</v>
      </c>
      <c r="D9" s="31">
        <v>17.927820940846768</v>
      </c>
      <c r="E9" s="31">
        <v>17.86233351847815</v>
      </c>
      <c r="F9" s="31">
        <v>17.838461730550293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62579000000</v>
      </c>
      <c r="C5" s="18">
        <v>63627000000</v>
      </c>
      <c r="D5" s="18">
        <v>59554000000</v>
      </c>
      <c r="E5" s="18">
        <v>101175000000</v>
      </c>
      <c r="F5" s="6" t="s">
        <v>91</v>
      </c>
    </row>
    <row r="6" spans="1:6" x14ac:dyDescent="0.25">
      <c r="A6" t="s">
        <v>51</v>
      </c>
      <c r="B6" s="18">
        <v>17407000000</v>
      </c>
      <c r="C6" s="18">
        <v>14938000000</v>
      </c>
      <c r="D6" s="18">
        <v>4417000000</v>
      </c>
      <c r="E6" s="18">
        <v>38117000000</v>
      </c>
      <c r="F6" s="6" t="s">
        <v>92</v>
      </c>
    </row>
    <row r="7" spans="1:6" x14ac:dyDescent="0.25">
      <c r="A7" t="s">
        <v>93</v>
      </c>
      <c r="B7" s="18">
        <v>6592000000</v>
      </c>
      <c r="C7" s="18">
        <v>7013000000</v>
      </c>
      <c r="D7" s="18">
        <v>6290000000</v>
      </c>
      <c r="E7" s="18">
        <v>5064000000</v>
      </c>
      <c r="F7" s="6" t="s">
        <v>94</v>
      </c>
    </row>
    <row r="8" spans="1:6" x14ac:dyDescent="0.25">
      <c r="A8" t="s">
        <v>95</v>
      </c>
      <c r="B8" s="18">
        <v>2629000000</v>
      </c>
      <c r="C8" s="18">
        <v>2909000000</v>
      </c>
      <c r="D8" s="18">
        <v>3907000000</v>
      </c>
      <c r="E8" s="18">
        <v>3236000000</v>
      </c>
      <c r="F8" s="6" t="s">
        <v>96</v>
      </c>
    </row>
    <row r="9" spans="1:6" x14ac:dyDescent="0.25">
      <c r="A9" t="s">
        <v>97</v>
      </c>
      <c r="B9" s="18">
        <v>5354000000</v>
      </c>
      <c r="C9" s="18">
        <v>3066000000</v>
      </c>
      <c r="D9" s="18">
        <v>2172000000</v>
      </c>
      <c r="E9" s="18">
        <v>5639000000</v>
      </c>
      <c r="F9" s="6" t="s">
        <v>98</v>
      </c>
    </row>
    <row r="10" spans="1:6" x14ac:dyDescent="0.25">
      <c r="A10" t="s">
        <v>99</v>
      </c>
      <c r="B10" s="18">
        <v>63961000000</v>
      </c>
      <c r="C10" s="18">
        <v>63649000000</v>
      </c>
      <c r="D10" s="18">
        <v>70845000000</v>
      </c>
      <c r="E10" s="18">
        <v>34859000000</v>
      </c>
      <c r="F10" s="6" t="s">
        <v>100</v>
      </c>
    </row>
    <row r="11" spans="1:6" x14ac:dyDescent="0.25">
      <c r="A11" t="s">
        <v>101</v>
      </c>
      <c r="B11" s="18">
        <v>13596000000</v>
      </c>
      <c r="C11" s="18">
        <v>20477000000</v>
      </c>
      <c r="D11" s="18">
        <v>12690000000</v>
      </c>
      <c r="E11" s="18">
        <v>22732000000</v>
      </c>
      <c r="F11" s="6" t="s">
        <v>102</v>
      </c>
    </row>
    <row r="12" spans="1:6" x14ac:dyDescent="0.25">
      <c r="A12" t="s">
        <v>34</v>
      </c>
      <c r="B12" s="34">
        <v>5713000000</v>
      </c>
      <c r="C12" s="34">
        <v>5700000000</v>
      </c>
      <c r="D12" s="34">
        <v>5709000000</v>
      </c>
      <c r="E12" s="34">
        <v>5733000000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