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<sst xmlns="http://schemas.openxmlformats.org/spreadsheetml/2006/main" count="112" uniqueCount="100">
  <si>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Pfizer Inc. (PFE)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</si>
  <si>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</si>
  <si>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</si>
  <si>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</si>
  <si>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</si>
  <si>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</si>
  <si>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</si>
  <si>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</si>
  <si>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</si>
  <si>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</si>
  <si>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</si>
  <si>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</si>
  <si>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</si>
  <si>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</si>
  <si>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</si>
  <si>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</si>
  <si>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</si>
  <si>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</si>
  <si>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</si>
  <si>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</si>
  <si>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</si>
  <si>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</si>
  <si>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</si>
  <si>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</si>
  <si>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</si>
  <si>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</si>
  <si>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</si>
  <si>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</si>
  <si>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</si>
  <si>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</si>
  <si>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</si>
  <si>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</si>
  <si>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</si>
  <si>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</si>
  <si>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</si>
  <si>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</si>
  <si>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</si>
  <si>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</si>
  <si>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</si>
  <si>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</si>
  <si>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</si>
  <si>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</si>
  <si>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</si>
  <si>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</si>
  <si>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</si>
  <si>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</si>
  <si>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</si>
  <si>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</si>
  <si>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</si>
  <si>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</si>
  <si>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</si>
  <si>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</si>
  <si>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</si>
  <si>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</si>
  <si>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</si>
  <si>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</si>
  <si>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</si>
  <si>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</si>
  <si>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</si>
  <si>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</si>
  <si>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</si>
  <si>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</si>
  <si>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</si>
  <si>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</si>
  <si>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</si>
  <si>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</si>
  <si>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</si>
  <si>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</si>
  <si>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</si>
  <si>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</si>
  <si>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</si>
  <si>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</si>
  <si>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</si>
  <si>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</si>
  <si>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</si>
  <si>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</si>
  <si>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</si>
  <si>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</si>
  <si>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</si>
  <si>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</si>
  <si>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</si>
  <si>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</si>
  <si>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</si>
  <si>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</si>
  <si>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</si>
  <si>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</si>
  <si>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</si>
  <si>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</si>
  <si>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</si>
  <si>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</si>
  <si>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</si>
  <si>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</si>
  <si>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</si>
  <si>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</si>
  <si>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</si>
  <si>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</si>
  <si>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</si>
  <si>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</si>
  <si>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4.63% of revenue against depreciation and amortisation of 9.28%. A business cannot depreciate more than it invests indefinitely. Capex has been set to 9.28%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</si>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</sst>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-0.14797605157261928</v>
      </c>
    </row>
    <row r="7" spans="1:2" x14ac:dyDescent="0.25">
      <c r="A7" t="s">
        <v>5</v>
      </c>
      <c r="B7" s="6">
        <v>0.24096154981548454</v>
      </c>
    </row>
    <row r="8" spans="1:2" x14ac:dyDescent="0.25">
      <c r="A8" t="s">
        <v>6</v>
      </c>
      <c r="B8" s="6">
        <v>0.09582769443404647</v>
      </c>
    </row>
    <row r="9" spans="1:2" x14ac:dyDescent="0.25">
      <c r="A9" t="s">
        <v>7</v>
      </c>
      <c r="B9" s="6">
        <v>0.09280741904671051</v>
      </c>
    </row>
    <row r="10" spans="1:2" x14ac:dyDescent="0.25">
      <c r="A10" t="s">
        <v>8</v>
      </c>
      <c r="B10" s="6">
        <v>0.09280741904671051</v>
      </c>
    </row>
    <row r="11" spans="1:2" x14ac:dyDescent="0.25">
      <c r="A11" t="s">
        <v>9</v>
      </c>
      <c r="B11" s="6">
        <v>-0.05218519497369117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8.667776808033668</v>
      </c>
    </row>
    <row r="14" spans="1:3" x14ac:dyDescent="0.25">
      <c r="A14" t="s">
        <v>12</v>
      </c>
      <c r="B14" s="6">
        <v>0.09678335643773774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0.53033</v>
      </c>
      <c r="C19" s="8" t="s">
        <v>19</v>
      </c>
    </row>
    <row r="20" spans="1:2" x14ac:dyDescent="0.25">
      <c r="A20" t="s">
        <v>20</v>
      </c>
      <c r="B20" s="10">
        <f>B17+B19*B18</f>
        <v>0.07914815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157652975616</v>
      </c>
    </row>
    <row r="23" spans="1:2" x14ac:dyDescent="0.25">
      <c r="A23" t="s">
        <v>24</v>
      </c>
      <c r="B23" s="11">
        <v>63961000000</v>
      </c>
    </row>
    <row r="24" spans="1:2" x14ac:dyDescent="0.25">
      <c r="A24" t="s">
        <v>25</v>
      </c>
      <c r="B24" s="10">
        <f>B22/(B22+B23)</f>
        <v>0.7113855305279665</v>
      </c>
    </row>
    <row r="25" spans="1:2" x14ac:dyDescent="0.25">
      <c r="A25" t="s">
        <v>26</v>
      </c>
      <c r="B25" s="10">
        <f>1-B24</f>
        <v>0.2886144694720335</v>
      </c>
    </row>
    <row r="26" spans="1:2" x14ac:dyDescent="0.25">
      <c r="A26" t="s">
        <v>27</v>
      </c>
      <c r="B26" s="12">
        <f>B24*B20+B25*B21*(1-B8)</f>
        <v>0.06934749004796258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62579000000</v>
      </c>
      <c r="C29" s="8" t="s">
        <v>30</v>
      </c>
    </row>
    <row r="30" spans="1:2" x14ac:dyDescent="0.25">
      <c r="A30" t="s">
        <v>31</v>
      </c>
      <c r="B30" s="11">
        <v>50365000000</v>
      </c>
    </row>
    <row r="31" spans="1:2" x14ac:dyDescent="0.25">
      <c r="A31" t="s">
        <v>32</v>
      </c>
      <c r="B31" s="13">
        <v>5713000000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-0.14797605157261928</v>
      </c>
      <c r="C5" s="10">
        <f>Assumptions!B6</f>
        <v>-0.14797605157261928</v>
      </c>
      <c r="D5" s="10">
        <f>Assumptions!B6</f>
        <v>-0.14797605157261928</v>
      </c>
      <c r="E5" s="10">
        <f>Assumptions!B6</f>
        <v>-0.14797605157261928</v>
      </c>
      <c r="F5" s="10">
        <f>Assumptions!B6</f>
        <v>-0.14797605157261928</v>
      </c>
    </row>
    <row r="6" spans="1:6" x14ac:dyDescent="0.25">
      <c r="A6" t="s">
        <v>43</v>
      </c>
      <c r="B6" s="18">
        <f>Assumptions!B29*(1+B5)</f>
        <v>53318806668.637054</v>
      </c>
      <c r="C6" s="18">
        <f>B6*(1+C5)</f>
        <v>45428900183.2483</v>
      </c>
      <c r="D6" s="18">
        <f>C6*(1+D5)</f>
        <v>38706510906.844574</v>
      </c>
      <c r="E6" s="18">
        <f>D6*(1+E5)</f>
        <v>32978874252.69719</v>
      </c>
      <c r="F6" s="18">
        <f>E6*(1+F5)</f>
        <v>28098790655.473145</v>
      </c>
    </row>
    <row r="7" spans="1:6" x14ac:dyDescent="0.25">
      <c r="A7" t="s">
        <v>5</v>
      </c>
      <c r="B7" s="10">
        <f>Assumptions!B7</f>
        <v>0.24096154981548454</v>
      </c>
      <c r="C7" s="10">
        <f>Assumptions!B7</f>
        <v>0.24096154981548454</v>
      </c>
      <c r="D7" s="10">
        <f>Assumptions!B7</f>
        <v>0.24096154981548454</v>
      </c>
      <c r="E7" s="10">
        <f>Assumptions!B7</f>
        <v>0.24096154981548454</v>
      </c>
      <c r="F7" s="10">
        <f>Assumptions!B7</f>
        <v>0.24096154981548454</v>
      </c>
    </row>
    <row r="8" spans="1:6" x14ac:dyDescent="0.25">
      <c r="A8" t="s">
        <v>44</v>
      </c>
      <c r="B8" s="18">
        <f>B6*B7</f>
        <v>12847782289.186977</v>
      </c>
      <c r="C8" s="18">
        <f>C6*C7</f>
        <v>10946618194.56846</v>
      </c>
      <c r="D8" s="18">
        <f>D6*D7</f>
        <v>9326780856.063225</v>
      </c>
      <c r="E8" s="18">
        <f>E6*E7</f>
        <v>7946640651.099895</v>
      </c>
      <c r="F8" s="18">
        <f>F6*F7</f>
        <v>6770728144.283664</v>
      </c>
    </row>
    <row r="9" spans="1:6" x14ac:dyDescent="0.25">
      <c r="A9" t="s">
        <v>45</v>
      </c>
      <c r="B9" s="18">
        <f>B8*(1-Assumptions!B8)</f>
        <v>11616608933.823614</v>
      </c>
      <c r="C9" s="18">
        <f>C8*(1-Assumptions!B8)</f>
        <v>9897629011.13318</v>
      </c>
      <c r="D9" s="18">
        <f>D8*(1-Assumptions!B8)</f>
        <v>8433016950.135083</v>
      </c>
      <c r="E9" s="18">
        <f>E8*(1-Assumptions!B8)</f>
        <v>7185132399.009122</v>
      </c>
      <c r="F9" s="18">
        <f>F8*(1-Assumptions!B8)</f>
        <v>6121904876.5772505</v>
      </c>
    </row>
    <row r="10" spans="1:6" x14ac:dyDescent="0.25">
      <c r="A10" t="s">
        <v>46</v>
      </c>
      <c r="B10" s="18">
        <f>B6*Assumptions!B9</f>
        <v>4948380833.566742</v>
      </c>
      <c r="C10" s="18">
        <f>C6*Assumptions!B9</f>
        <v>4216138976.137909</v>
      </c>
      <c r="D10" s="18">
        <f>D6*Assumptions!B9</f>
        <v>3592251377.5675955</v>
      </c>
      <c r="E10" s="18">
        <f>E6*Assumptions!B9</f>
        <v>3060684202.45884</v>
      </c>
      <c r="F10" s="18">
        <f>F6*Assumptions!B9</f>
        <v>2607776239.0682898</v>
      </c>
    </row>
    <row r="11" spans="1:6" x14ac:dyDescent="0.25">
      <c r="A11" t="s">
        <v>47</v>
      </c>
      <c r="B11" s="18">
        <f>-B6*Assumptions!B10</f>
        <v>-4948380833.566742</v>
      </c>
      <c r="C11" s="18">
        <f>-C6*Assumptions!B10</f>
        <v>-4216138976.137909</v>
      </c>
      <c r="D11" s="18">
        <f>-D6*Assumptions!B10</f>
        <v>-3592251377.5675955</v>
      </c>
      <c r="E11" s="18">
        <f>-E6*Assumptions!B10</f>
        <v>-3060684202.45884</v>
      </c>
      <c r="F11" s="18">
        <f>-F6*Assumptions!B10</f>
        <v>-2607776239.0682898</v>
      </c>
    </row>
    <row r="12" spans="1:6" x14ac:dyDescent="0.25">
      <c r="A12" t="s">
        <v>48</v>
      </c>
      <c r="B12" s="18">
        <f>-(B6-Assumptions!B29)*Assumptions!B11</f>
        <v>-483244994.49125004</v>
      </c>
      <c r="C12" s="18">
        <f>-(C6-B6)*Assumptions!B11</f>
        <v>-411736308.26420265</v>
      </c>
      <c r="D12" s="18">
        <f>-(D6-C6)*Assumptions!B11</f>
        <v>-350809195.07817906</v>
      </c>
      <c r="E12" s="18">
        <f>-(E6-D6)*Assumptions!B11</f>
        <v>-298897835.5351414</v>
      </c>
      <c r="F12" s="18">
        <f>-(F6-E6)*Assumptions!B11</f>
        <v>-254668114.00904894</v>
      </c>
    </row>
    <row r="13" spans="1:6" x14ac:dyDescent="0.25">
      <c r="A13" s="19" t="s">
        <v>49</v>
      </c>
      <c r="B13" s="20">
        <f>B9+B10+B11+B12</f>
        <v>11133363939.332363</v>
      </c>
      <c r="C13" s="20">
        <f>C9+C10+C11+C12</f>
        <v>9485892702.868979</v>
      </c>
      <c r="D13" s="20">
        <f>D9+D10+D11+D12</f>
        <v>8082207755.056904</v>
      </c>
      <c r="E13" s="20">
        <f>E9+E10+E11+E12</f>
        <v>6886234563.473982</v>
      </c>
      <c r="F13" s="20">
        <f>F9+F10+F11+F12</f>
        <v>5867236762.568201</v>
      </c>
    </row>
    <row r="14" spans="1:6" x14ac:dyDescent="0.25">
      <c r="A14" t="s">
        <v>50</v>
      </c>
      <c r="B14" s="21">
        <f>1/(1+Assumptions!$B$26)^(1-0.5*Assumptions!$B$32)</f>
        <v>0.9670313927074086</v>
      </c>
      <c r="C14" s="21">
        <f>1/(1+Assumptions!$B$26)^(2-0.5*Assumptions!$B$32)</f>
        <v>0.9043191307851064</v>
      </c>
      <c r="D14" s="21">
        <f>1/(1+Assumptions!$B$26)^(3-0.5*Assumptions!$B$32)</f>
        <v>0.8456737769539682</v>
      </c>
      <c r="E14" s="21">
        <f>1/(1+Assumptions!$B$26)^(4-0.5*Assumptions!$B$32)</f>
        <v>0.7908315910631051</v>
      </c>
      <c r="F14" s="21">
        <f>1/(1+Assumptions!$B$26)^(5-0.5*Assumptions!$B$32)</f>
        <v>0.7395459365857161</v>
      </c>
    </row>
    <row r="15" spans="1:6" x14ac:dyDescent="0.25">
      <c r="A15" s="19" t="s">
        <v>51</v>
      </c>
      <c r="B15" s="20">
        <f>B13*B14</f>
        <v>10766312435.771015</v>
      </c>
      <c r="C15" s="20">
        <f>C13*C14</f>
        <v>8578274243.779258</v>
      </c>
      <c r="D15" s="20">
        <f>D13*D14</f>
        <v>6834911158.345624</v>
      </c>
      <c r="E15" s="20">
        <f>E13*E14</f>
        <v>5445851836.265876</v>
      </c>
      <c r="F15" s="20">
        <f>F13*F14</f>
        <v>4339091106.743645</v>
      </c>
    </row>
    <row r="17" spans="1:2" x14ac:dyDescent="0.25">
      <c r="A17" s="22" t="s">
        <v>52</v>
      </c>
      <c r="B17" s="23">
        <f>SUM(B15:F15)</f>
        <v>35964440780.90542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5867236762.568201</v>
      </c>
    </row>
    <row r="5" spans="1:2" x14ac:dyDescent="0.25">
      <c r="A5" t="s">
        <v>56</v>
      </c>
      <c r="B5" s="18">
        <f>IF(Assumptions!$B$33=0,B4,B4-Forecast!F11-Forecast!F10-Forecast!F12)</f>
        <v>6121904876.5772505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0.25830887582497614</v>
      </c>
    </row>
    <row r="7" spans="1:2" x14ac:dyDescent="0.25">
      <c r="A7" t="s">
        <v>58</v>
      </c>
      <c r="B7" s="18">
        <f>-MAX(Forecast!F9,0)*B6</f>
        <v>-1581342366.576109</v>
      </c>
    </row>
    <row r="8" spans="1:2" x14ac:dyDescent="0.25">
      <c r="A8" t="s">
        <v>59</v>
      </c>
      <c r="B8" s="18">
        <f>IF(OR(Assumptions!$B$33=0,Assumptions!B12&lt;=0),B5,MAX(B5+B7,0))</f>
        <v>4540562510.001142</v>
      </c>
    </row>
    <row r="9" spans="1:2" x14ac:dyDescent="0.25">
      <c r="A9" t="s">
        <v>60</v>
      </c>
      <c r="B9" s="18">
        <f>B8*(1+Assumptions!B12)/(Assumptions!B26-Assumptions!B12)</f>
        <v>104945659105.34521</v>
      </c>
    </row>
    <row r="10" spans="1:2" x14ac:dyDescent="0.25">
      <c r="A10" t="s">
        <v>61</v>
      </c>
      <c r="B10" s="18">
        <f>B9/(1+Assumptions!B26)^(5-0.5*Assumptions!B32)</f>
        <v>77612135753.66782</v>
      </c>
    </row>
    <row r="11" spans="1:2" x14ac:dyDescent="0.25">
      <c r="A11" t="s">
        <v>62</v>
      </c>
      <c r="B11" s="18">
        <f>Forecast!B17+B10</f>
        <v>113576576534.57324</v>
      </c>
    </row>
    <row r="12" spans="1:2" x14ac:dyDescent="0.25">
      <c r="A12" t="s">
        <v>63</v>
      </c>
      <c r="B12" s="18">
        <f>-Assumptions!B30</f>
        <v>-50365000000</v>
      </c>
    </row>
    <row r="13" spans="1:2" x14ac:dyDescent="0.25">
      <c r="A13" t="s">
        <v>64</v>
      </c>
      <c r="B13" s="18">
        <f>B11+B12</f>
        <v>63211576534.57324</v>
      </c>
    </row>
    <row r="14" spans="1:2" x14ac:dyDescent="0.25">
      <c r="A14" s="19" t="s">
        <v>65</v>
      </c>
      <c r="B14" s="24">
        <f>B13/Assumptions!B31</f>
        <v>11.064515409517458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9378504383.351954</v>
      </c>
    </row>
    <row r="18" spans="1:2" x14ac:dyDescent="0.25">
      <c r="A18" t="s">
        <v>60</v>
      </c>
      <c r="B18" s="18">
        <f>B17*Assumptions!B13</f>
        <v>81290782788.06017</v>
      </c>
    </row>
    <row r="19" spans="1:2" x14ac:dyDescent="0.25">
      <c r="A19" t="s">
        <v>61</v>
      </c>
      <c r="B19" s="18">
        <f>B18/(1+Assumptions!B26)^(5-0.5*Assumptions!B32)</f>
        <v>60118268092.78197</v>
      </c>
    </row>
    <row r="20" spans="1:2" x14ac:dyDescent="0.25">
      <c r="A20" t="s">
        <v>62</v>
      </c>
      <c r="B20" s="18">
        <f>Forecast!B17+B19</f>
        <v>96082708873.68738</v>
      </c>
    </row>
    <row r="21" spans="1:2" x14ac:dyDescent="0.25">
      <c r="A21" t="s">
        <v>63</v>
      </c>
      <c r="B21" s="18">
        <f>-Assumptions!B30</f>
        <v>-50365000000</v>
      </c>
    </row>
    <row r="22" spans="1:2" x14ac:dyDescent="0.25">
      <c r="A22" t="s">
        <v>64</v>
      </c>
      <c r="B22" s="18">
        <f>B20+B21</f>
        <v>45717708873.68738</v>
      </c>
    </row>
    <row r="23" spans="1:2" x14ac:dyDescent="0.25">
      <c r="A23" s="19" t="s">
        <v>65</v>
      </c>
      <c r="B23" s="25">
        <f>B22/Assumptions!B31</f>
        <v>8.002399592803672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27.66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11.064515409517458</v>
      </c>
    </row>
    <row r="29" spans="1:2" x14ac:dyDescent="0.25">
      <c r="A29" s="19" t="s">
        <v>73</v>
      </c>
      <c r="B29" s="12">
        <f>B28/B26-1</f>
        <v>-0.5999813662502727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0.049347</v>
      </c>
      <c r="B5" s="31">
        <v>19.274708778738926</v>
      </c>
      <c r="C5" s="31">
        <v>21.520348523502253</v>
      </c>
      <c r="D5" s="31">
        <v>24.67002918197638</v>
      </c>
      <c r="E5" s="31">
        <v>29.424666333096603</v>
      </c>
      <c r="F5" s="31">
        <v>37.46226564980448</v>
      </c>
    </row>
    <row r="6" spans="1:6" x14ac:dyDescent="0.25">
      <c r="A6" s="30">
        <v>0.059347</v>
      </c>
      <c r="B6" s="31">
        <v>13.591444912257748</v>
      </c>
      <c r="C6" s="31">
        <v>14.604832713916926</v>
      </c>
      <c r="D6" s="31">
        <v>15.900829996146655</v>
      </c>
      <c r="E6" s="31">
        <v>17.62388567054126</v>
      </c>
      <c r="F6" s="31">
        <v>20.037107137703423</v>
      </c>
    </row>
    <row r="7" spans="1:6" x14ac:dyDescent="0.25">
      <c r="A7" s="30">
        <v>0.069347</v>
      </c>
      <c r="B7" s="31">
        <v>9.986052117823075</v>
      </c>
      <c r="C7" s="31">
        <v>10.474878021095702</v>
      </c>
      <c r="D7" s="32">
        <v>11.06469947556659</v>
      </c>
      <c r="E7" s="31">
        <v>11.79401835604127</v>
      </c>
      <c r="F7" s="31">
        <v>12.723755889702838</v>
      </c>
    </row>
    <row r="8" spans="1:6" x14ac:dyDescent="0.25">
      <c r="A8" s="30">
        <v>0.079347</v>
      </c>
      <c r="B8" s="31">
        <v>7.490309492566884</v>
      </c>
      <c r="C8" s="31">
        <v>7.723060094789918</v>
      </c>
      <c r="D8" s="31">
        <v>7.991413234798192</v>
      </c>
      <c r="E8" s="31">
        <v>8.306191010526302</v>
      </c>
      <c r="F8" s="31">
        <v>8.683096164793334</v>
      </c>
    </row>
    <row r="9" spans="1:6" x14ac:dyDescent="0.25">
      <c r="A9" s="30">
        <v>0.089347</v>
      </c>
      <c r="B9" s="31">
        <v>5.656889516607684</v>
      </c>
      <c r="C9" s="31">
        <v>5.7537355411387745</v>
      </c>
      <c r="D9" s="31">
        <v>5.85977865912335</v>
      </c>
      <c r="E9" s="31">
        <v>5.977343443021732</v>
      </c>
      <c r="F9" s="31">
        <v>6.109609920962555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62579000000</v>
      </c>
      <c r="C5" s="18">
        <v>63627000000</v>
      </c>
      <c r="D5" s="18">
        <v>59554000000</v>
      </c>
      <c r="E5" s="18">
        <v>101175000000</v>
      </c>
      <c r="F5" s="8" t="s">
        <v>84</v>
      </c>
    </row>
    <row r="6" spans="1:6" x14ac:dyDescent="0.25">
      <c r="A6" t="s">
        <v>44</v>
      </c>
      <c r="B6" s="18">
        <v>17407000000</v>
      </c>
      <c r="C6" s="18">
        <v>14938000000</v>
      </c>
      <c r="D6" s="18">
        <v>4417000000</v>
      </c>
      <c r="E6" s="18">
        <v>38117000000</v>
      </c>
      <c r="F6" s="8" t="s">
        <v>85</v>
      </c>
    </row>
    <row r="7" spans="1:6" x14ac:dyDescent="0.25">
      <c r="A7" t="s">
        <v>86</v>
      </c>
      <c r="B7" s="18">
        <v>6592000000</v>
      </c>
      <c r="C7" s="18">
        <v>7013000000</v>
      </c>
      <c r="D7" s="18">
        <v>6290000000</v>
      </c>
      <c r="E7" s="18">
        <v>5064000000</v>
      </c>
      <c r="F7" s="8" t="s">
        <v>87</v>
      </c>
    </row>
    <row r="8" spans="1:6" x14ac:dyDescent="0.25">
      <c r="A8" t="s">
        <v>88</v>
      </c>
      <c r="B8" s="18">
        <v>2629000000</v>
      </c>
      <c r="C8" s="18">
        <v>2909000000</v>
      </c>
      <c r="D8" s="18">
        <v>3907000000</v>
      </c>
      <c r="E8" s="18">
        <v>3236000000</v>
      </c>
      <c r="F8" s="8" t="s">
        <v>89</v>
      </c>
    </row>
    <row r="9" spans="1:6" x14ac:dyDescent="0.25">
      <c r="A9" t="s">
        <v>90</v>
      </c>
      <c r="B9" s="18">
        <v>5354000000</v>
      </c>
      <c r="C9" s="18">
        <v>3066000000</v>
      </c>
      <c r="D9" s="18">
        <v>2172000000</v>
      </c>
      <c r="E9" s="18">
        <v>5639000000</v>
      </c>
      <c r="F9" s="8" t="s">
        <v>91</v>
      </c>
    </row>
    <row r="10" spans="1:6" x14ac:dyDescent="0.25">
      <c r="A10" t="s">
        <v>92</v>
      </c>
      <c r="B10" s="18">
        <v>63961000000</v>
      </c>
      <c r="C10" s="18">
        <v>63649000000</v>
      </c>
      <c r="D10" s="18">
        <v>70845000000</v>
      </c>
      <c r="E10" s="18">
        <v>34859000000</v>
      </c>
      <c r="F10" s="8" t="s">
        <v>93</v>
      </c>
    </row>
    <row r="11" spans="1:6" x14ac:dyDescent="0.25">
      <c r="A11" t="s">
        <v>94</v>
      </c>
      <c r="B11" s="18">
        <v>13596000000</v>
      </c>
      <c r="C11" s="18">
        <v>20477000000</v>
      </c>
      <c r="D11" s="18">
        <v>12690000000</v>
      </c>
      <c r="E11" s="18">
        <v>22732000000</v>
      </c>
      <c r="F11" s="8" t="s">
        <v>95</v>
      </c>
    </row>
    <row r="12" spans="1:6" x14ac:dyDescent="0.25">
      <c r="A12" t="s">
        <v>32</v>
      </c>
      <c r="B12" s="34">
        <v>5713000000</v>
      </c>
      <c r="C12" s="34">
        <v>5700000000</v>
      </c>
      <c r="D12" s="34">
        <v>5709000000</v>
      </c>
      <c r="E12" s="34">
        <v>5733000000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2026-09-19T01:03:59Z</dcterms:modified>
</cp:coreProperties>
</file>