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<sst xmlns="http://schemas.openxmlformats.org/spreadsheetml/2006/main" count="114" uniqueCount="102">
  <si>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Principal Financial Group, Inc. (PFG)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</si>
  <si>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</si>
  <si>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</si>
  <si>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</si>
  <si>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</si>
  <si>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</si>
  <si>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</si>
  <si>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</si>
  <si>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</si>
  <si>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</si>
  <si>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</si>
  <si>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</si>
  <si>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</si>
  <si>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</si>
  <si>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</si>
  <si>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</si>
  <si>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</si>
  <si>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</si>
  <si>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</si>
  <si>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</si>
  <si>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</si>
  <si>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</si>
  <si>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</si>
  <si>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</si>
  <si>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</si>
  <si>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</si>
  <si>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</si>
  <si>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</si>
  <si>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</si>
  <si>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</si>
  <si>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</si>
  <si>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</si>
  <si>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</si>
  <si>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</si>
  <si>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</si>
  <si>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</si>
  <si>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</si>
  <si>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</si>
  <si>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</si>
  <si>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</si>
  <si>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</si>
  <si>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</si>
  <si>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</si>
  <si>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</si>
  <si>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</si>
  <si>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</si>
  <si>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</si>
  <si>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</si>
  <si>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</si>
  <si>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</si>
  <si>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</si>
  <si>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</si>
  <si>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</si>
  <si>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</si>
  <si>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</si>
  <si>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</si>
  <si>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</si>
  <si>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</si>
  <si>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</si>
  <si>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</si>
  <si>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</si>
  <si>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</si>
  <si>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</si>
  <si>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</si>
  <si>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</si>
  <si>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</si>
  <si>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</si>
  <si>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</si>
  <si>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</si>
  <si>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</si>
  <si>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</si>
  <si>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</si>
  <si>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</si>
  <si>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</si>
  <si>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</si>
  <si>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</si>
  <si>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</si>
  <si>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</si>
  <si>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</si>
  <si>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</si>
  <si>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</si>
  <si>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</si>
  <si>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</si>
  <si>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</si>
  <si>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</si>
  <si>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</si>
  <si>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</si>
  <si>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</si>
  <si>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</si>
  <si>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</si>
  <si>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</si>
  <si>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</si>
  <si>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</si>
  <si>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</si>
  <si>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</si>
  <si>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</si>
  <si>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</si>
  <si>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</si>
  <si>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</si>
  <si>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just 0.62% of revenue, which is too low to be the company's real investment - property trusts and similar structures invest through lines that are not reported as capex. Capex has been set to 1.72%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</si>
  <si>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No usable EV/EBITDA (EBITDA is not positive), so the exit multiple falls back to 8x.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</si>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</sst>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-0.0377225619285263</v>
      </c>
    </row>
    <row r="7" spans="1:2" x14ac:dyDescent="0.25">
      <c r="A7" t="s">
        <v>5</v>
      </c>
      <c r="B7" s="6">
        <v>0.1508144871235731</v>
      </c>
    </row>
    <row r="8" spans="1:2" x14ac:dyDescent="0.25">
      <c r="A8" t="s">
        <v>6</v>
      </c>
      <c r="B8" s="6">
        <v>0.1338593765696982</v>
      </c>
    </row>
    <row r="9" spans="1:2" x14ac:dyDescent="0.25">
      <c r="A9" t="s">
        <v>7</v>
      </c>
      <c r="B9" s="6">
        <v>0.017200871136345084</v>
      </c>
    </row>
    <row r="10" spans="1:2" x14ac:dyDescent="0.25">
      <c r="A10" t="s">
        <v>8</v>
      </c>
      <c r="B10" s="6">
        <v>0.017200871136345084</v>
      </c>
    </row>
    <row r="11" spans="1:2" x14ac:dyDescent="0.25">
      <c r="A11" t="s">
        <v>9</v>
      </c>
      <c r="B11" s="6">
        <v>0.49980621657235874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0.09488442836075679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0.9142399999999999</v>
      </c>
      <c r="C19" s="8" t="s">
        <v>19</v>
      </c>
    </row>
    <row r="20" spans="1:2" x14ac:dyDescent="0.25">
      <c r="A20" t="s">
        <v>20</v>
      </c>
      <c r="B20" s="10">
        <f>B17+B19*B18</f>
        <v>0.1002632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25193693184</v>
      </c>
    </row>
    <row r="23" spans="1:2" x14ac:dyDescent="0.25">
      <c r="A23" t="s">
        <v>24</v>
      </c>
      <c r="B23" s="11">
        <v>3954000000</v>
      </c>
    </row>
    <row r="24" spans="1:2" x14ac:dyDescent="0.25">
      <c r="A24" t="s">
        <v>25</v>
      </c>
      <c r="B24" s="10">
        <f>B22/(B22+B23)</f>
        <v>0.8643460401809614</v>
      </c>
    </row>
    <row r="25" spans="1:2" x14ac:dyDescent="0.25">
      <c r="A25" t="s">
        <v>26</v>
      </c>
      <c r="B25" s="10">
        <f>1-B24</f>
        <v>0.1356539598190386</v>
      </c>
    </row>
    <row r="26" spans="1:2" x14ac:dyDescent="0.25">
      <c r="A26" t="s">
        <v>27</v>
      </c>
      <c r="B26" s="12">
        <f>B24*B20+B25*B21*(1-B8)</f>
        <v>0.09488442836075679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15625500000</v>
      </c>
      <c r="C29" s="8" t="s">
        <v>30</v>
      </c>
    </row>
    <row r="30" spans="1:2" x14ac:dyDescent="0.25">
      <c r="A30" t="s">
        <v>31</v>
      </c>
      <c r="B30" s="11">
        <v>-28293500000</v>
      </c>
    </row>
    <row r="31" spans="1:2" x14ac:dyDescent="0.25">
      <c r="A31" t="s">
        <v>32</v>
      </c>
      <c r="B31" s="13">
        <v>225700000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-0.0377225619285263</v>
      </c>
      <c r="C5" s="10">
        <f>Assumptions!B6</f>
        <v>-0.0377225619285263</v>
      </c>
      <c r="D5" s="10">
        <f>Assumptions!B6</f>
        <v>-0.0377225619285263</v>
      </c>
      <c r="E5" s="10">
        <f>Assumptions!B6</f>
        <v>-0.0377225619285263</v>
      </c>
      <c r="F5" s="10">
        <f>Assumptions!B6</f>
        <v>-0.0377225619285263</v>
      </c>
    </row>
    <row r="6" spans="1:6" x14ac:dyDescent="0.25">
      <c r="A6" t="s">
        <v>43</v>
      </c>
      <c r="B6" s="18">
        <f>Assumptions!B29*(1+B5)</f>
        <v>15036066108.585812</v>
      </c>
      <c r="C6" s="18">
        <f>B6*(1+C5)</f>
        <v>14468867173.643269</v>
      </c>
      <c r="D6" s="18">
        <f>C6*(1+D5)</f>
        <v>13923064435.649889</v>
      </c>
      <c r="E6" s="18">
        <f>D6*(1+E5)</f>
        <v>13397850775.241224</v>
      </c>
      <c r="F6" s="18">
        <f>E6*(1+F5)</f>
        <v>12892449519.663033</v>
      </c>
    </row>
    <row r="7" spans="1:6" x14ac:dyDescent="0.25">
      <c r="A7" t="s">
        <v>5</v>
      </c>
      <c r="B7" s="10">
        <f>Assumptions!B7</f>
        <v>0.1508144871235731</v>
      </c>
      <c r="C7" s="10">
        <f>Assumptions!B7</f>
        <v>0.1508144871235731</v>
      </c>
      <c r="D7" s="10">
        <f>Assumptions!B7</f>
        <v>0.1508144871235731</v>
      </c>
      <c r="E7" s="10">
        <f>Assumptions!B7</f>
        <v>0.1508144871235731</v>
      </c>
      <c r="F7" s="10">
        <f>Assumptions!B7</f>
        <v>0.1508144871235731</v>
      </c>
    </row>
    <row r="8" spans="1:6" x14ac:dyDescent="0.25">
      <c r="A8" t="s">
        <v>44</v>
      </c>
      <c r="B8" s="18">
        <f>B6*B7</f>
        <v>2267656598.5225086</v>
      </c>
      <c r="C8" s="18">
        <f>C6*C7</f>
        <v>2182114782.052112</v>
      </c>
      <c r="D8" s="18">
        <f>D6*D7</f>
        <v>2099799822.0509987</v>
      </c>
      <c r="E8" s="18">
        <f>E6*E7</f>
        <v>2020589993.2261715</v>
      </c>
      <c r="F8" s="18">
        <f>F6*F7</f>
        <v>1944368162.0745366</v>
      </c>
    </row>
    <row r="9" spans="1:6" x14ac:dyDescent="0.25">
      <c r="A9" t="s">
        <v>45</v>
      </c>
      <c r="B9" s="18">
        <f>B8*(1-Assumptions!B8)</f>
        <v>1964109499.970123</v>
      </c>
      <c r="C9" s="18">
        <f>C8*(1-Assumptions!B8)</f>
        <v>1890018257.7230933</v>
      </c>
      <c r="D9" s="18">
        <f>D8*(1-Assumptions!B8)</f>
        <v>1818721926.9500887</v>
      </c>
      <c r="E9" s="18">
        <f>E8*(1-Assumptions!B8)</f>
        <v>1750115076.4299452</v>
      </c>
      <c r="F9" s="18">
        <f>F8*(1-Assumptions!B8)</f>
        <v>1684096252.077269</v>
      </c>
    </row>
    <row r="10" spans="1:6" x14ac:dyDescent="0.25">
      <c r="A10" t="s">
        <v>46</v>
      </c>
      <c r="B10" s="18">
        <f>B6*Assumptions!B9</f>
        <v>258633435.53135023</v>
      </c>
      <c r="C10" s="18">
        <f>C6*Assumptions!B9</f>
        <v>248877119.74273136</v>
      </c>
      <c r="D10" s="18">
        <f>D6*Assumptions!B9</f>
        <v>239488837.18064293</v>
      </c>
      <c r="E10" s="18">
        <f>E6*Assumptions!B9</f>
        <v>230454704.6889054</v>
      </c>
      <c r="F10" s="18">
        <f>F6*Assumptions!B9</f>
        <v>221761362.8195579</v>
      </c>
    </row>
    <row r="11" spans="1:6" x14ac:dyDescent="0.25">
      <c r="A11" t="s">
        <v>47</v>
      </c>
      <c r="B11" s="18">
        <f>-B6*Assumptions!B10</f>
        <v>-258633435.53135023</v>
      </c>
      <c r="C11" s="18">
        <f>-C6*Assumptions!B10</f>
        <v>-248877119.74273136</v>
      </c>
      <c r="D11" s="18">
        <f>-D6*Assumptions!B10</f>
        <v>-239488837.18064293</v>
      </c>
      <c r="E11" s="18">
        <f>-E6*Assumptions!B10</f>
        <v>-230454704.6889054</v>
      </c>
      <c r="F11" s="18">
        <f>-F6*Assumptions!B10</f>
        <v>-221761362.8195579</v>
      </c>
    </row>
    <row r="12" spans="1:6" x14ac:dyDescent="0.25">
      <c r="A12" t="s">
        <v>48</v>
      </c>
      <c r="B12" s="18">
        <f>-(B6-Assumptions!B29)*Assumptions!B11</f>
        <v>294602723.18724805</v>
      </c>
      <c r="C12" s="18">
        <f>-(C6-B6)*Assumptions!B11</f>
        <v>283489553.7175039</v>
      </c>
      <c r="D12" s="18">
        <f>-(D6-C6)*Assumptions!B11</f>
        <v>272795601.47130543</v>
      </c>
      <c r="E12" s="18">
        <f>-(E6-D6)*Assumptions!B11</f>
        <v>262505052.50097436</v>
      </c>
      <c r="F12" s="18">
        <f>-(F6-E6)*Assumptions!B11</f>
        <v>252602689.40145573</v>
      </c>
    </row>
    <row r="13" spans="1:6" x14ac:dyDescent="0.25">
      <c r="A13" s="19" t="s">
        <v>49</v>
      </c>
      <c r="B13" s="20">
        <f>B9+B10+B11+B12</f>
        <v>2258712223.1573715</v>
      </c>
      <c r="C13" s="20">
        <f>C9+C10+C11+C12</f>
        <v>2173507811.440597</v>
      </c>
      <c r="D13" s="20">
        <f>D9+D10+D11+D12</f>
        <v>2091517528.421394</v>
      </c>
      <c r="E13" s="20">
        <f>E9+E10+E11+E12</f>
        <v>2012620128.9309196</v>
      </c>
      <c r="F13" s="20">
        <f>F9+F10+F11+F12</f>
        <v>1936698941.4787247</v>
      </c>
    </row>
    <row r="14" spans="1:6" x14ac:dyDescent="0.25">
      <c r="A14" t="s">
        <v>50</v>
      </c>
      <c r="B14" s="21">
        <f>1/(1+Assumptions!$B$26)^(1-0.5*Assumptions!$B$32)</f>
        <v>0.955687400419921</v>
      </c>
      <c r="C14" s="21">
        <f>1/(1+Assumptions!$B$26)^(2-0.5*Assumptions!$B$32)</f>
        <v>0.8728660081966464</v>
      </c>
      <c r="D14" s="21">
        <f>1/(1+Assumptions!$B$26)^(3-0.5*Assumptions!$B$32)</f>
        <v>0.7972220497313011</v>
      </c>
      <c r="E14" s="21">
        <f>1/(1+Assumptions!$B$26)^(4-0.5*Assumptions!$B$32)</f>
        <v>0.7281335171830774</v>
      </c>
      <c r="F14" s="21">
        <f>1/(1+Assumptions!$B$26)^(5-0.5*Assumptions!$B$32)</f>
        <v>0.6650323069013111</v>
      </c>
    </row>
    <row r="15" spans="1:6" x14ac:dyDescent="0.25">
      <c r="A15" s="19" t="s">
        <v>51</v>
      </c>
      <c r="B15" s="20">
        <f>B13*B14</f>
        <v>2158622812.8459687</v>
      </c>
      <c r="C15" s="20">
        <f>C13*C14</f>
        <v>1897181087.156383</v>
      </c>
      <c r="D15" s="20">
        <f>D13*D14</f>
        <v>1667403891.0570486</v>
      </c>
      <c r="E15" s="20">
        <f>E13*E14</f>
        <v>1465456173.2319293</v>
      </c>
      <c r="F15" s="20">
        <f>F13*F14</f>
        <v>1287967364.8249235</v>
      </c>
    </row>
    <row r="17" spans="1:2" x14ac:dyDescent="0.25">
      <c r="A17" s="22" t="s">
        <v>52</v>
      </c>
      <c r="B17" s="23">
        <f>SUM(B15:F15)</f>
        <v>8476631329.116254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1936698941.4787247</v>
      </c>
    </row>
    <row r="5" spans="1:2" x14ac:dyDescent="0.25">
      <c r="A5" t="s">
        <v>56</v>
      </c>
      <c r="B5" s="18">
        <f>IF(Assumptions!$B$33=0,B4,B4-Forecast!F11-Forecast!F10-Forecast!F12)</f>
        <v>1684096252.077269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0.2634784277241822</v>
      </c>
    </row>
    <row r="7" spans="1:2" x14ac:dyDescent="0.25">
      <c r="A7" t="s">
        <v>58</v>
      </c>
      <c r="B7" s="18">
        <f>-MAX(Forecast!F9,0)*B6</f>
        <v>-443723032.63350683</v>
      </c>
    </row>
    <row r="8" spans="1:2" x14ac:dyDescent="0.25">
      <c r="A8" t="s">
        <v>59</v>
      </c>
      <c r="B8" s="18">
        <f>IF(OR(Assumptions!$B$33=0,Assumptions!B12&lt;=0),B5,MAX(B5+B7,0))</f>
        <v>1240373219.4437623</v>
      </c>
    </row>
    <row r="9" spans="1:2" x14ac:dyDescent="0.25">
      <c r="A9" t="s">
        <v>60</v>
      </c>
      <c r="B9" s="18">
        <f>B8*(1+Assumptions!B12)/(Assumptions!B26-Assumptions!B12)</f>
        <v>18192644337.97378</v>
      </c>
    </row>
    <row r="10" spans="1:2" x14ac:dyDescent="0.25">
      <c r="A10" t="s">
        <v>61</v>
      </c>
      <c r="B10" s="18">
        <f>B9/(1+Assumptions!B26)^(5-0.5*Assumptions!B32)</f>
        <v>12098696232.71778</v>
      </c>
    </row>
    <row r="11" spans="1:2" x14ac:dyDescent="0.25">
      <c r="A11" t="s">
        <v>62</v>
      </c>
      <c r="B11" s="18">
        <f>Forecast!B17+B10</f>
        <v>20575327561.834034</v>
      </c>
    </row>
    <row r="12" spans="1:2" x14ac:dyDescent="0.25">
      <c r="A12" t="s">
        <v>63</v>
      </c>
      <c r="B12" s="18">
        <f>-Assumptions!B30</f>
        <v>28293499999.999996</v>
      </c>
    </row>
    <row r="13" spans="1:2" x14ac:dyDescent="0.25">
      <c r="A13" t="s">
        <v>64</v>
      </c>
      <c r="B13" s="18">
        <f>B11+B12</f>
        <v>48868827561.83403</v>
      </c>
    </row>
    <row r="14" spans="1:2" x14ac:dyDescent="0.25">
      <c r="A14" s="19" t="s">
        <v>65</v>
      </c>
      <c r="B14" s="24">
        <f>B13/Assumptions!B31</f>
        <v>216.52116775291995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2166129524.8940945</v>
      </c>
    </row>
    <row r="18" spans="1:2" x14ac:dyDescent="0.25">
      <c r="A18" t="s">
        <v>60</v>
      </c>
      <c r="B18" s="18">
        <f>B17*Assumptions!B13</f>
        <v>17329036199.152756</v>
      </c>
    </row>
    <row r="19" spans="1:2" x14ac:dyDescent="0.25">
      <c r="A19" t="s">
        <v>61</v>
      </c>
      <c r="B19" s="18">
        <f>B18/(1+Assumptions!B26)^(5-0.5*Assumptions!B32)</f>
        <v>11524368919.898886</v>
      </c>
    </row>
    <row r="20" spans="1:2" x14ac:dyDescent="0.25">
      <c r="A20" t="s">
        <v>62</v>
      </c>
      <c r="B20" s="18">
        <f>Forecast!B17+B19</f>
        <v>20001000249.01514</v>
      </c>
    </row>
    <row r="21" spans="1:2" x14ac:dyDescent="0.25">
      <c r="A21" t="s">
        <v>63</v>
      </c>
      <c r="B21" s="18">
        <f>-Assumptions!B30</f>
        <v>28293499999.999996</v>
      </c>
    </row>
    <row r="22" spans="1:2" x14ac:dyDescent="0.25">
      <c r="A22" t="s">
        <v>64</v>
      </c>
      <c r="B22" s="18">
        <f>B20+B21</f>
        <v>48294500249.01514</v>
      </c>
    </row>
    <row r="23" spans="1:2" x14ac:dyDescent="0.25">
      <c r="A23" s="19" t="s">
        <v>65</v>
      </c>
      <c r="B23" s="25">
        <f>B22/Assumptions!B31</f>
        <v>213.9765186044091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117.67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216.52116775291995</v>
      </c>
    </row>
    <row r="29" spans="1:2" x14ac:dyDescent="0.25">
      <c r="A29" s="19" t="s">
        <v>73</v>
      </c>
      <c r="B29" s="12">
        <f>B28/B26-1</f>
        <v>0.8400711120329731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0.074884</v>
      </c>
      <c r="B5" s="31">
        <v>241.09108747938478</v>
      </c>
      <c r="C5" s="31">
        <v>243.06715476880657</v>
      </c>
      <c r="D5" s="31">
        <v>245.3809808725732</v>
      </c>
      <c r="E5" s="31">
        <v>248.14544303458388</v>
      </c>
      <c r="F5" s="31">
        <v>251.5300212687203</v>
      </c>
    </row>
    <row r="6" spans="1:6" x14ac:dyDescent="0.25">
      <c r="A6" s="30">
        <v>0.084884</v>
      </c>
      <c r="B6" s="31">
        <v>226.6405100189757</v>
      </c>
      <c r="C6" s="31">
        <v>227.43386645679757</v>
      </c>
      <c r="D6" s="31">
        <v>228.3130638910361</v>
      </c>
      <c r="E6" s="31">
        <v>229.30156298320009</v>
      </c>
      <c r="F6" s="31">
        <v>230.43223048152308</v>
      </c>
    </row>
    <row r="7" spans="1:6" x14ac:dyDescent="0.25">
      <c r="A7" s="30">
        <v>0.094884</v>
      </c>
      <c r="B7" s="31">
        <v>215.99855614674783</v>
      </c>
      <c r="C7" s="31">
        <v>216.2600466241551</v>
      </c>
      <c r="D7" s="32">
        <v>216.52153710156236</v>
      </c>
      <c r="E7" s="31">
        <v>216.7830275789696</v>
      </c>
      <c r="F7" s="31">
        <v>217.04451805637686</v>
      </c>
    </row>
    <row r="8" spans="1:6" x14ac:dyDescent="0.25">
      <c r="A8" s="30">
        <v>0.104884</v>
      </c>
      <c r="B8" s="31">
        <v>208.25700140571746</v>
      </c>
      <c r="C8" s="31">
        <v>208.48407729954522</v>
      </c>
      <c r="D8" s="31">
        <v>208.71115319337295</v>
      </c>
      <c r="E8" s="31">
        <v>208.93822908720074</v>
      </c>
      <c r="F8" s="31">
        <v>209.1653049810285</v>
      </c>
    </row>
    <row r="9" spans="1:6" x14ac:dyDescent="0.25">
      <c r="A9" s="30">
        <v>0.114884</v>
      </c>
      <c r="B9" s="31">
        <v>201.84454331887127</v>
      </c>
      <c r="C9" s="31">
        <v>202.04361626034358</v>
      </c>
      <c r="D9" s="31">
        <v>202.24268920181592</v>
      </c>
      <c r="E9" s="31">
        <v>202.44176214328823</v>
      </c>
      <c r="F9" s="31">
        <v>202.6408350847605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15625500000</v>
      </c>
      <c r="C5" s="18">
        <v>16127700000</v>
      </c>
      <c r="D5" s="18">
        <v>13665800000</v>
      </c>
      <c r="E5" s="18">
        <v>17536100000</v>
      </c>
      <c r="F5" s="8" t="s">
        <v>84</v>
      </c>
    </row>
    <row r="6" spans="1:6" x14ac:dyDescent="0.25">
      <c r="A6" t="s">
        <v>44</v>
      </c>
      <c r="B6" s="18">
        <v>1416000000</v>
      </c>
      <c r="C6" s="18">
        <v>1889600000</v>
      </c>
      <c r="D6" s="18">
        <v>738800000</v>
      </c>
      <c r="E6" s="18">
        <v>5987000000</v>
      </c>
      <c r="F6" s="8" t="s">
        <v>85</v>
      </c>
    </row>
    <row r="7" spans="1:6" x14ac:dyDescent="0.25">
      <c r="A7" t="s">
        <v>86</v>
      </c>
      <c r="B7" s="18">
        <v>251400000</v>
      </c>
      <c r="C7" s="18">
        <v>256200000</v>
      </c>
      <c r="D7" s="18">
        <v>272700000</v>
      </c>
      <c r="E7" s="18">
        <v>295900000</v>
      </c>
      <c r="F7" s="8" t="s">
        <v>87</v>
      </c>
    </row>
    <row r="8" spans="1:6" x14ac:dyDescent="0.25">
      <c r="A8" t="s">
        <v>88</v>
      </c>
      <c r="B8" s="18">
        <v>98000000</v>
      </c>
      <c r="C8" s="18">
        <v>68800000</v>
      </c>
      <c r="D8" s="18">
        <v>102000000</v>
      </c>
      <c r="E8" s="18">
        <v>116300000</v>
      </c>
      <c r="F8" s="8" t="s">
        <v>89</v>
      </c>
    </row>
    <row r="9" spans="1:6" x14ac:dyDescent="0.25">
      <c r="A9" t="s">
        <v>90</v>
      </c>
      <c r="B9" s="18">
        <v>-2602100000</v>
      </c>
      <c r="C9" s="18">
        <v>-2692400000</v>
      </c>
      <c r="D9" s="18">
        <v>-1934400000</v>
      </c>
      <c r="E9" s="18">
        <v>-2461900000</v>
      </c>
      <c r="F9" s="8" t="s">
        <v>91</v>
      </c>
    </row>
    <row r="10" spans="1:6" x14ac:dyDescent="0.25">
      <c r="A10" t="s">
        <v>92</v>
      </c>
      <c r="B10" s="18">
        <v>3954000000</v>
      </c>
      <c r="C10" s="18">
        <v>4108000000</v>
      </c>
      <c r="D10" s="18">
        <v>3992000000</v>
      </c>
      <c r="E10" s="18">
        <v>4077700000</v>
      </c>
      <c r="F10" s="8" t="s">
        <v>93</v>
      </c>
    </row>
    <row r="11" spans="1:6" x14ac:dyDescent="0.25">
      <c r="A11" t="s">
        <v>94</v>
      </c>
      <c r="B11" s="18">
        <v>32247500000</v>
      </c>
      <c r="C11" s="18">
        <v>72462900000</v>
      </c>
      <c r="D11" s="18">
        <v>70380800000</v>
      </c>
      <c r="E11" s="18">
        <v>67737900000</v>
      </c>
      <c r="F11" s="8" t="s">
        <v>95</v>
      </c>
    </row>
    <row r="12" spans="1:6" x14ac:dyDescent="0.25">
      <c r="A12" t="s">
        <v>32</v>
      </c>
      <c r="B12" s="34">
        <v>225700000</v>
      </c>
      <c r="C12" s="34">
        <v>226225161</v>
      </c>
      <c r="D12" s="34">
        <v>236438294</v>
      </c>
      <c r="E12" s="34">
        <v>255300000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86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2026-09-19T00:06:43Z</dcterms:modified>
</cp:coreProperties>
</file>