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<sst xmlns="http://schemas.openxmlformats.org/spreadsheetml/2006/main" count="115" uniqueCount="103">
  <si>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Property For Industry Limited (PFI.NZ)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</si>
  <si>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</si>
  <si>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</si>
  <si>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</si>
  <si>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</si>
  <si>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</si>
  <si>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</si>
  <si>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</si>
  <si>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</si>
  <si>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</si>
  <si>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</si>
  <si>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</si>
  <si>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</si>
  <si>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</si>
  <si>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</si>
  <si>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</si>
  <si>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</si>
  <si>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</si>
  <si>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</si>
  <si>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</si>
  <si>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</si>
  <si>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</si>
  <si>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</si>
  <si>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</si>
  <si>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</si>
  <si>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</si>
  <si>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</si>
  <si>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</si>
  <si>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</si>
  <si>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</si>
  <si>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</si>
  <si>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</si>
  <si>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</si>
  <si>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</si>
  <si>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</si>
  <si>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</si>
  <si>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</si>
  <si>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</si>
  <si>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</si>
  <si>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</si>
  <si>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</si>
  <si>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</si>
  <si>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</si>
  <si>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</si>
  <si>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</si>
  <si>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</si>
  <si>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</si>
  <si>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</si>
  <si>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</si>
  <si>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</si>
  <si>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</si>
  <si>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</si>
  <si>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</si>
  <si>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</si>
  <si>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</si>
  <si>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</si>
  <si>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</si>
  <si>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</si>
  <si>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</si>
  <si>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</si>
  <si>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</si>
  <si>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</si>
  <si>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</si>
  <si>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</si>
  <si>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</si>
  <si>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</si>
  <si>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</si>
  <si>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</si>
  <si>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</si>
  <si>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</si>
  <si>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</si>
  <si>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</si>
  <si>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</si>
  <si>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</si>
  <si>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</si>
  <si>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</si>
  <si>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</si>
  <si>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</si>
  <si>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</si>
  <si>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</si>
  <si>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</si>
  <si>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</si>
  <si>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</si>
  <si>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</si>
  <si>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</si>
  <si>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</si>
  <si>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</si>
  <si>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</si>
  <si>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</si>
  <si>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</si>
  <si>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</si>
  <si>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</si>
  <si>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</si>
  <si>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</si>
  <si>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</si>
  <si>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</si>
  <si>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</si>
  <si>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</si>
  <si>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</si>
  <si>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just 0.39%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</si>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</sst>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0.09220883899558197</v>
      </c>
    </row>
    <row r="7" spans="1:2" x14ac:dyDescent="0.25">
      <c r="A7" t="s">
        <v>5</v>
      </c>
      <c r="B7" s="6">
        <v>0.7422318064658764</v>
      </c>
    </row>
    <row r="8" spans="1:2" x14ac:dyDescent="0.25">
      <c r="A8" t="s">
        <v>6</v>
      </c>
      <c r="B8" s="6">
        <v>0.13261589766633514</v>
      </c>
    </row>
    <row r="9" spans="1:2" x14ac:dyDescent="0.25">
      <c r="A9" t="s">
        <v>7</v>
      </c>
      <c r="B9" s="6">
        <v>0.0034450174269786706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-0.06221116246000711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17.54826977555423</v>
      </c>
    </row>
    <row r="14" spans="1:3" x14ac:dyDescent="0.25">
      <c r="A14" t="s">
        <v>12</v>
      </c>
      <c r="B14" s="6">
        <v>0.06459436440938973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0.57388</v>
      </c>
      <c r="C19" s="8" t="s">
        <v>19</v>
      </c>
    </row>
    <row r="20" spans="1:2" x14ac:dyDescent="0.25">
      <c r="A20" t="s">
        <v>20</v>
      </c>
      <c r="B20" s="10">
        <f>B17+B19*B18</f>
        <v>0.08230219999999999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1130576768</v>
      </c>
    </row>
    <row r="23" spans="1:2" x14ac:dyDescent="0.25">
      <c r="A23" t="s">
        <v>24</v>
      </c>
      <c r="B23" s="11">
        <v>783194000</v>
      </c>
    </row>
    <row r="24" spans="1:2" x14ac:dyDescent="0.25">
      <c r="A24" t="s">
        <v>25</v>
      </c>
      <c r="B24" s="10">
        <f>B22/(B22+B23)</f>
        <v>0.5907587193326803</v>
      </c>
    </row>
    <row r="25" spans="1:2" x14ac:dyDescent="0.25">
      <c r="A25" t="s">
        <v>26</v>
      </c>
      <c r="B25" s="10">
        <f>1-B24</f>
        <v>0.4092412806673197</v>
      </c>
    </row>
    <row r="26" spans="1:2" x14ac:dyDescent="0.25">
      <c r="A26" t="s">
        <v>27</v>
      </c>
      <c r="B26" s="12">
        <f>B24*B20+B25*B21*(1-B8)</f>
        <v>0.06459436440938973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144405000</v>
      </c>
      <c r="C29" s="8" t="s">
        <v>30</v>
      </c>
    </row>
    <row r="30" spans="1:2" x14ac:dyDescent="0.25">
      <c r="A30" t="s">
        <v>31</v>
      </c>
      <c r="B30" s="11">
        <v>781044000</v>
      </c>
    </row>
    <row r="31" spans="1:2" x14ac:dyDescent="0.25">
      <c r="A31" t="s">
        <v>32</v>
      </c>
      <c r="B31" s="13">
        <v>502379030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0.09220883899558197</v>
      </c>
      <c r="C5" s="10">
        <f>Assumptions!B6</f>
        <v>0.09220883899558197</v>
      </c>
      <c r="D5" s="10">
        <f>Assumptions!B6</f>
        <v>0.09220883899558197</v>
      </c>
      <c r="E5" s="10">
        <f>Assumptions!B6</f>
        <v>0.09220883899558197</v>
      </c>
      <c r="F5" s="10">
        <f>Assumptions!B6</f>
        <v>0.09220883899558197</v>
      </c>
    </row>
    <row r="6" spans="1:6" x14ac:dyDescent="0.25">
      <c r="A6" t="s">
        <v>43</v>
      </c>
      <c r="B6" s="18">
        <f>Assumptions!B29*(1+B5)</f>
        <v>157720417.395157</v>
      </c>
      <c r="C6" s="18">
        <f>B6*(1+C5)</f>
        <v>172263633.969063</v>
      </c>
      <c r="D6" s="18">
        <f>C6*(1+D5)</f>
        <v>188147863.6585102</v>
      </c>
      <c r="E6" s="18">
        <f>D6*(1+E5)</f>
        <v>205496759.7259605</v>
      </c>
      <c r="F6" s="18">
        <f>E6*(1+F5)</f>
        <v>224445377.35764536</v>
      </c>
    </row>
    <row r="7" spans="1:6" x14ac:dyDescent="0.25">
      <c r="A7" t="s">
        <v>5</v>
      </c>
      <c r="B7" s="10">
        <f>Assumptions!B7</f>
        <v>0.7422318064658764</v>
      </c>
      <c r="C7" s="10">
        <f>Assumptions!B7</f>
        <v>0.7422318064658764</v>
      </c>
      <c r="D7" s="10">
        <f>Assumptions!B7</f>
        <v>0.7422318064658764</v>
      </c>
      <c r="E7" s="10">
        <f>Assumptions!B7</f>
        <v>0.7422318064658764</v>
      </c>
      <c r="F7" s="10">
        <f>Assumptions!B7</f>
        <v>0.7422318064658764</v>
      </c>
    </row>
    <row r="8" spans="1:6" x14ac:dyDescent="0.25">
      <c r="A8" t="s">
        <v>44</v>
      </c>
      <c r="B8" s="18">
        <f>B6*B7</f>
        <v>117065110.31975941</v>
      </c>
      <c r="C8" s="18">
        <f>C6*C7</f>
        <v>127859548.22923414</v>
      </c>
      <c r="D8" s="18">
        <f>D6*D7</f>
        <v>139649328.72595143</v>
      </c>
      <c r="E8" s="18">
        <f>E6*E7</f>
        <v>152526231.1942838</v>
      </c>
      <c r="F8" s="18">
        <f>F6*F7</f>
        <v>166590497.88908044</v>
      </c>
    </row>
    <row r="9" spans="1:6" x14ac:dyDescent="0.25">
      <c r="A9" t="s">
        <v>45</v>
      </c>
      <c r="B9" s="18">
        <f>B8*(1-Assumptions!B8)</f>
        <v>101540415.62929596</v>
      </c>
      <c r="C9" s="18">
        <f>C8*(1-Assumptions!B8)</f>
        <v>110903339.46560217</v>
      </c>
      <c r="D9" s="18">
        <f>D8*(1-Assumptions!B8)</f>
        <v>121129607.63845825</v>
      </c>
      <c r="E9" s="18">
        <f>E8*(1-Assumptions!B8)</f>
        <v>132298828.12679088</v>
      </c>
      <c r="F9" s="18">
        <f>F8*(1-Assumptions!B8)</f>
        <v>144497949.4688383</v>
      </c>
    </row>
    <row r="10" spans="1:6" x14ac:dyDescent="0.25">
      <c r="A10" t="s">
        <v>46</v>
      </c>
      <c r="B10" s="18">
        <f>B6*Assumptions!B9</f>
        <v>543349.5865166658</v>
      </c>
      <c r="C10" s="18">
        <f>C6*Assumptions!B9</f>
        <v>593451.221058097</v>
      </c>
      <c r="D10" s="18">
        <f>D6*Assumptions!B9</f>
        <v>648172.6691523746</v>
      </c>
      <c r="E10" s="18">
        <f>E6*Assumptions!B9</f>
        <v>707939.9184435825</v>
      </c>
      <c r="F10" s="18">
        <f>F6*Assumptions!B9</f>
        <v>773218.2364018922</v>
      </c>
    </row>
    <row r="11" spans="1:6" x14ac:dyDescent="0.25">
      <c r="A11" t="s">
        <v>47</v>
      </c>
      <c r="B11" s="18">
        <f>-B6*Assumptions!B10</f>
        <v>-1577204.1739515702</v>
      </c>
      <c r="C11" s="18">
        <f>-C6*Assumptions!B10</f>
        <v>-1722636.33969063</v>
      </c>
      <c r="D11" s="18">
        <f>-D6*Assumptions!B10</f>
        <v>-1881478.6365851022</v>
      </c>
      <c r="E11" s="18">
        <f>-E6*Assumptions!B10</f>
        <v>-2054967.597259605</v>
      </c>
      <c r="F11" s="18">
        <f>-F6*Assumptions!B10</f>
        <v>-2244453.773576454</v>
      </c>
    </row>
    <row r="12" spans="1:6" x14ac:dyDescent="0.25">
      <c r="A12" t="s">
        <v>48</v>
      </c>
      <c r="B12" s="18">
        <f>-(B6-Assumptions!B29)*Assumptions!B11</f>
        <v>828367.5947929174</v>
      </c>
      <c r="C12" s="18">
        <f>-(C6-B6)*Assumptions!B11</f>
        <v>904750.4089703345</v>
      </c>
      <c r="D12" s="18">
        <f>-(D6-C6)*Assumptions!B11</f>
        <v>988176.3937622677</v>
      </c>
      <c r="E12" s="18">
        <f>-(E6-D6)*Assumptions!B11</f>
        <v>1079294.9917539281</v>
      </c>
      <c r="F12" s="18">
        <f>-(F6-E6)*Assumptions!B11</f>
        <v>1178815.5298773025</v>
      </c>
    </row>
    <row r="13" spans="1:6" x14ac:dyDescent="0.25">
      <c r="A13" s="19" t="s">
        <v>49</v>
      </c>
      <c r="B13" s="20">
        <f>B9+B10+B11+B12</f>
        <v>101334928.63665397</v>
      </c>
      <c r="C13" s="20">
        <f>C9+C10+C11+C12</f>
        <v>110678904.75593999</v>
      </c>
      <c r="D13" s="20">
        <f>D9+D10+D11+D12</f>
        <v>120884478.06478779</v>
      </c>
      <c r="E13" s="20">
        <f>E9+E10+E11+E12</f>
        <v>132031095.43972877</v>
      </c>
      <c r="F13" s="20">
        <f>F9+F10+F11+F12</f>
        <v>144205529.46154103</v>
      </c>
    </row>
    <row r="14" spans="1:6" x14ac:dyDescent="0.25">
      <c r="A14" t="s">
        <v>50</v>
      </c>
      <c r="B14" s="21">
        <f>1/(1+Assumptions!$B$26)^(1-0.5*Assumptions!$B$32)</f>
        <v>0.9691877551849801</v>
      </c>
      <c r="C14" s="21">
        <f>1/(1+Assumptions!$B$26)^(2-0.5*Assumptions!$B$32)</f>
        <v>0.9103821958729428</v>
      </c>
      <c r="D14" s="21">
        <f>1/(1+Assumptions!$B$26)^(3-0.5*Assumptions!$B$32)</f>
        <v>0.8551446694704231</v>
      </c>
      <c r="E14" s="21">
        <f>1/(1+Assumptions!$B$26)^(4-0.5*Assumptions!$B$32)</f>
        <v>0.8032586852409611</v>
      </c>
      <c r="F14" s="21">
        <f>1/(1+Assumptions!$B$26)^(5-0.5*Assumptions!$B$32)</f>
        <v>0.7545208880441414</v>
      </c>
    </row>
    <row r="15" spans="1:6" x14ac:dyDescent="0.25">
      <c r="A15" s="19" t="s">
        <v>51</v>
      </c>
      <c r="B15" s="20">
        <f>B13*B14</f>
        <v>98212572.00718883</v>
      </c>
      <c r="C15" s="20">
        <f>C13*C14</f>
        <v>100760104.34852494</v>
      </c>
      <c r="D15" s="20">
        <f>D13*D14</f>
        <v>103373717.03881757</v>
      </c>
      <c r="E15" s="20">
        <f>E13*E14</f>
        <v>106055124.13384038</v>
      </c>
      <c r="F15" s="20">
        <f>F13*F14</f>
        <v>108806084.15019754</v>
      </c>
    </row>
    <row r="17" spans="1:2" x14ac:dyDescent="0.25">
      <c r="A17" s="22" t="s">
        <v>52</v>
      </c>
      <c r="B17" s="23">
        <f>SUM(B15:F15)</f>
        <v>517207601.6785693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144205529.46154103</v>
      </c>
    </row>
    <row r="5" spans="1:2" x14ac:dyDescent="0.25">
      <c r="A5" t="s">
        <v>56</v>
      </c>
      <c r="B5" s="18">
        <f>IF(Assumptions!$B$33=0,B4,B4-Forecast!F11-Forecast!F10-Forecast!F12)</f>
        <v>144497949.4688383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0.3870306679008964</v>
      </c>
    </row>
    <row r="7" spans="1:2" x14ac:dyDescent="0.25">
      <c r="A7" t="s">
        <v>58</v>
      </c>
      <c r="B7" s="18">
        <f>-MAX(Forecast!F9,0)*B6</f>
        <v>-55925137.89323447</v>
      </c>
    </row>
    <row r="8" spans="1:2" x14ac:dyDescent="0.25">
      <c r="A8" t="s">
        <v>59</v>
      </c>
      <c r="B8" s="18">
        <f>IF(OR(Assumptions!$B$33=0,Assumptions!B12&lt;=0),B5,MAX(B5+B7,0))</f>
        <v>88572811.57560384</v>
      </c>
    </row>
    <row r="9" spans="1:2" x14ac:dyDescent="0.25">
      <c r="A9" t="s">
        <v>60</v>
      </c>
      <c r="B9" s="18">
        <f>B8*(1+Assumptions!B12)/(Assumptions!B26-Assumptions!B12)</f>
        <v>2292930653.6226134</v>
      </c>
    </row>
    <row r="10" spans="1:2" x14ac:dyDescent="0.25">
      <c r="A10" t="s">
        <v>61</v>
      </c>
      <c r="B10" s="18">
        <f>B9/(1+Assumptions!B26)^(5-0.5*Assumptions!B32)</f>
        <v>1730064072.994968</v>
      </c>
    </row>
    <row r="11" spans="1:2" x14ac:dyDescent="0.25">
      <c r="A11" t="s">
        <v>62</v>
      </c>
      <c r="B11" s="18">
        <f>Forecast!B17+B10</f>
        <v>2247271674.6735373</v>
      </c>
    </row>
    <row r="12" spans="1:2" x14ac:dyDescent="0.25">
      <c r="A12" t="s">
        <v>63</v>
      </c>
      <c r="B12" s="18">
        <f>-Assumptions!B30</f>
        <v>-781044000</v>
      </c>
    </row>
    <row r="13" spans="1:2" x14ac:dyDescent="0.25">
      <c r="A13" t="s">
        <v>64</v>
      </c>
      <c r="B13" s="18">
        <f>B11+B12</f>
        <v>1466227674.6735373</v>
      </c>
    </row>
    <row r="14" spans="1:2" x14ac:dyDescent="0.25">
      <c r="A14" s="19" t="s">
        <v>65</v>
      </c>
      <c r="B14" s="24">
        <f>B13/Assumptions!B31</f>
        <v>2.918568624716556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167363716.12548232</v>
      </c>
    </row>
    <row r="18" spans="1:2" x14ac:dyDescent="0.25">
      <c r="A18" t="s">
        <v>60</v>
      </c>
      <c r="B18" s="18">
        <f>B17*Assumptions!B13</f>
        <v>2936943641.209239</v>
      </c>
    </row>
    <row r="19" spans="1:2" x14ac:dyDescent="0.25">
      <c r="A19" t="s">
        <v>61</v>
      </c>
      <c r="B19" s="18">
        <f>B18/(1+Assumptions!B26)^(5-0.5*Assumptions!B32)</f>
        <v>2215985324.3007894</v>
      </c>
    </row>
    <row r="20" spans="1:2" x14ac:dyDescent="0.25">
      <c r="A20" t="s">
        <v>62</v>
      </c>
      <c r="B20" s="18">
        <f>Forecast!B17+B19</f>
        <v>2733192925.9793587</v>
      </c>
    </row>
    <row r="21" spans="1:2" x14ac:dyDescent="0.25">
      <c r="A21" t="s">
        <v>63</v>
      </c>
      <c r="B21" s="18">
        <f>-Assumptions!B30</f>
        <v>-781044000</v>
      </c>
    </row>
    <row r="22" spans="1:2" x14ac:dyDescent="0.25">
      <c r="A22" t="s">
        <v>64</v>
      </c>
      <c r="B22" s="18">
        <f>B20+B21</f>
        <v>1952148925.9793587</v>
      </c>
    </row>
    <row r="23" spans="1:2" x14ac:dyDescent="0.25">
      <c r="A23" s="19" t="s">
        <v>65</v>
      </c>
      <c r="B23" s="25">
        <f>B22/Assumptions!B31</f>
        <v>3.8858089398742592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2.25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2.918568624716556</v>
      </c>
    </row>
    <row r="29" spans="1:2" x14ac:dyDescent="0.25">
      <c r="A29" s="19" t="s">
        <v>73</v>
      </c>
      <c r="B29" s="12">
        <f>B28/B26-1</f>
        <v>0.2971416109851359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0.044594</v>
      </c>
      <c r="B5" s="31">
        <v>4.905925675701548</v>
      </c>
      <c r="C5" s="31">
        <v>4.932426530620856</v>
      </c>
      <c r="D5" s="31">
        <v>4.958927385540165</v>
      </c>
      <c r="E5" s="31">
        <v>4.985428240459476</v>
      </c>
      <c r="F5" s="31">
        <v>5.011929095378785</v>
      </c>
    </row>
    <row r="6" spans="1:6" x14ac:dyDescent="0.25">
      <c r="A6" s="30">
        <v>0.054594</v>
      </c>
      <c r="B6" s="31">
        <v>3.7098679014232494</v>
      </c>
      <c r="C6" s="31">
        <v>3.7306061195187237</v>
      </c>
      <c r="D6" s="31">
        <v>3.751344337614196</v>
      </c>
      <c r="E6" s="31">
        <v>3.772082555709671</v>
      </c>
      <c r="F6" s="31">
        <v>3.792820773805145</v>
      </c>
    </row>
    <row r="7" spans="1:6" x14ac:dyDescent="0.25">
      <c r="A7" s="30">
        <v>0.064594</v>
      </c>
      <c r="B7" s="31">
        <v>2.884996526159673</v>
      </c>
      <c r="C7" s="31">
        <v>2.901795391255291</v>
      </c>
      <c r="D7" s="32">
        <v>2.9185942563509073</v>
      </c>
      <c r="E7" s="31">
        <v>2.9353931214465243</v>
      </c>
      <c r="F7" s="31">
        <v>2.952191986542142</v>
      </c>
    </row>
    <row r="8" spans="1:6" x14ac:dyDescent="0.25">
      <c r="A8" s="30">
        <v>0.074594</v>
      </c>
      <c r="B8" s="31">
        <v>2.281991917920211</v>
      </c>
      <c r="C8" s="31">
        <v>2.2959394201063597</v>
      </c>
      <c r="D8" s="31">
        <v>2.3098869222925074</v>
      </c>
      <c r="E8" s="31">
        <v>2.323834424478655</v>
      </c>
      <c r="F8" s="31">
        <v>2.337781926664803</v>
      </c>
    </row>
    <row r="9" spans="1:6" x14ac:dyDescent="0.25">
      <c r="A9" s="30">
        <v>0.084594</v>
      </c>
      <c r="B9" s="31">
        <v>1.8221416432679638</v>
      </c>
      <c r="C9" s="31">
        <v>1.8339382808032059</v>
      </c>
      <c r="D9" s="31">
        <v>1.845734918338447</v>
      </c>
      <c r="E9" s="31">
        <v>1.8575315558736882</v>
      </c>
      <c r="F9" s="31">
        <v>1.8693281934089294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144405000</v>
      </c>
      <c r="C5" s="18">
        <v>127527000</v>
      </c>
      <c r="D5" s="18">
        <v>114955000</v>
      </c>
      <c r="E5" s="18">
        <v>110832000</v>
      </c>
      <c r="F5" s="8" t="s">
        <v>84</v>
      </c>
    </row>
    <row r="6" spans="1:6" x14ac:dyDescent="0.25">
      <c r="A6" t="s">
        <v>44</v>
      </c>
      <c r="B6" s="18">
        <v>108460000</v>
      </c>
      <c r="C6" s="18">
        <v>94463000</v>
      </c>
      <c r="D6" s="18">
        <v>81924000</v>
      </c>
      <c r="E6" s="18">
        <v>84726000</v>
      </c>
      <c r="F6" s="8" t="s">
        <v>85</v>
      </c>
    </row>
    <row r="7" spans="1:6" x14ac:dyDescent="0.25">
      <c r="A7" t="s">
        <v>86</v>
      </c>
      <c r="B7" s="18">
        <v>475000</v>
      </c>
      <c r="C7" s="18">
        <v>488000</v>
      </c>
      <c r="D7" s="18">
        <v>569000</v>
      </c>
      <c r="E7" s="18">
        <v>190000</v>
      </c>
      <c r="F7" s="8" t="s">
        <v>87</v>
      </c>
    </row>
    <row r="8" spans="1:6" x14ac:dyDescent="0.25">
      <c r="A8" t="s">
        <v>88</v>
      </c>
      <c r="B8" s="18">
        <v>67000</v>
      </c>
      <c r="C8" s="18">
        <v>73000</v>
      </c>
      <c r="D8" s="18">
        <v>254000</v>
      </c>
      <c r="E8" s="18">
        <v>1348000</v>
      </c>
      <c r="F8" s="8" t="s">
        <v>89</v>
      </c>
    </row>
    <row r="9" spans="1:6" x14ac:dyDescent="0.25">
      <c r="A9" t="s">
        <v>90</v>
      </c>
      <c r="B9" s="18">
        <v>-1050000</v>
      </c>
      <c r="C9" s="18">
        <v>4880000</v>
      </c>
      <c r="D9" s="18">
        <v>-4809000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783194000</v>
      </c>
      <c r="C10" s="18">
        <v>705183000</v>
      </c>
      <c r="D10" s="18">
        <v>648958000</v>
      </c>
      <c r="E10" s="18">
        <v>603635000</v>
      </c>
      <c r="F10" s="8" t="s">
        <v>93</v>
      </c>
    </row>
    <row r="11" spans="1:6" x14ac:dyDescent="0.25">
      <c r="A11" t="s">
        <v>94</v>
      </c>
      <c r="B11" s="18">
        <v>2150000</v>
      </c>
      <c r="C11" s="18">
        <v>1623000</v>
      </c>
      <c r="D11" s="18">
        <v>1187000</v>
      </c>
      <c r="E11" s="18">
        <v>1332000</v>
      </c>
      <c r="F11" s="8" t="s">
        <v>95</v>
      </c>
    </row>
    <row r="12" spans="1:6" x14ac:dyDescent="0.25">
      <c r="A12" t="s">
        <v>32</v>
      </c>
      <c r="B12" s="34">
        <v>502379030</v>
      </c>
      <c r="C12" s="34">
        <v>502473934</v>
      </c>
      <c r="D12" s="34">
        <v>502118817</v>
      </c>
      <c r="E12" s="34">
        <v>504719213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2026-09-19T00:08:43Z</dcterms:modified>
</cp:coreProperties>
</file>