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<sst xmlns="http://schemas.openxmlformats.org/spreadsheetml/2006/main" count="112" uniqueCount="100">
  <si>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The Procter &amp; Gamble Company (PG)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</si>
  <si>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</si>
  <si>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</si>
  <si>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</si>
  <si>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</si>
  <si>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</si>
  <si>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</si>
  <si>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</si>
  <si>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</si>
  <si>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</si>
  <si>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</si>
  <si>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</si>
  <si>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</si>
  <si>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</si>
  <si>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</si>
  <si>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</si>
  <si>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</si>
  <si>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</si>
  <si>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</si>
  <si>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</si>
  <si>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</si>
  <si>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</si>
  <si>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</si>
  <si>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</si>
  <si>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</si>
  <si>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</si>
  <si>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</si>
  <si>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</si>
  <si>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</si>
  <si>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</si>
  <si>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</si>
  <si>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</si>
  <si>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</si>
  <si>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</si>
  <si>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</si>
  <si>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</si>
  <si>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</si>
  <si>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</si>
  <si>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</si>
  <si>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</si>
  <si>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</si>
  <si>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</si>
  <si>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</si>
  <si>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</si>
  <si>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</si>
  <si>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</si>
  <si>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</si>
  <si>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</si>
  <si>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</si>
  <si>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</si>
  <si>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</si>
  <si>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</si>
  <si>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</si>
  <si>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</si>
  <si>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</si>
  <si>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</si>
  <si>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</si>
  <si>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</si>
  <si>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</si>
  <si>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</si>
  <si>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</si>
  <si>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</si>
  <si>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</si>
  <si>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</si>
  <si>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</si>
  <si>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</si>
  <si>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</si>
  <si>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</si>
  <si>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</si>
  <si>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</si>
  <si>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</si>
  <si>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</si>
  <si>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</si>
  <si>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</si>
  <si>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</si>
  <si>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</si>
  <si>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</si>
  <si>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</si>
  <si>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</si>
  <si>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</si>
  <si>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</si>
  <si>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</si>
  <si>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</si>
  <si>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</si>
  <si>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</si>
  <si>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</si>
  <si>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</si>
  <si>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</si>
  <si>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</si>
  <si>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</si>
  <si>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</si>
  <si>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</si>
  <si>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</si>
  <si>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</si>
  <si>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</si>
  <si>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</si>
  <si>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</si>
  <si>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</si>
  <si>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4.3% of revenue against depreciation of 3.4%.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</si>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</sst>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0.020025694093399382</v>
      </c>
    </row>
    <row r="7" spans="1:2" x14ac:dyDescent="0.25">
      <c r="A7" t="s">
        <v>5</v>
      </c>
      <c r="B7" s="6">
        <v>0.23182683948478283</v>
      </c>
    </row>
    <row r="8" spans="1:2" x14ac:dyDescent="0.25">
      <c r="A8" t="s">
        <v>6</v>
      </c>
      <c r="B8" s="6">
        <v>0.20262825422645486</v>
      </c>
    </row>
    <row r="9" spans="1:2" x14ac:dyDescent="0.25">
      <c r="A9" t="s">
        <v>7</v>
      </c>
      <c r="B9" s="6">
        <v>0.034410616960656865</v>
      </c>
    </row>
    <row r="10" spans="1:2" x14ac:dyDescent="0.25">
      <c r="A10" t="s">
        <v>8</v>
      </c>
      <c r="B10" s="6">
        <v>0.043073210569293786</v>
      </c>
    </row>
    <row r="11" spans="1:2" x14ac:dyDescent="0.25">
      <c r="A11" t="s">
        <v>9</v>
      </c>
      <c r="B11" s="6">
        <v>-0.020659124446630595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15.937663921774053</v>
      </c>
    </row>
    <row r="14" spans="1:3" x14ac:dyDescent="0.25">
      <c r="A14" t="s">
        <v>12</v>
      </c>
      <c r="B14" s="6">
        <v>0.18511072865246353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0.5825899999999999</v>
      </c>
      <c r="C19" s="8" t="s">
        <v>19</v>
      </c>
    </row>
    <row r="20" spans="1:2" x14ac:dyDescent="0.25">
      <c r="A20" t="s">
        <v>20</v>
      </c>
      <c r="B20" s="10">
        <f>B17+B19*B18</f>
        <v>0.08202245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340016005120</v>
      </c>
    </row>
    <row r="23" spans="1:2" x14ac:dyDescent="0.25">
      <c r="A23" t="s">
        <v>24</v>
      </c>
      <c r="B23" s="11">
        <v>35026000000</v>
      </c>
    </row>
    <row r="24" spans="1:2" x14ac:dyDescent="0.25">
      <c r="A24" t="s">
        <v>25</v>
      </c>
      <c r="B24" s="10">
        <f>B22/(B22+B23)</f>
        <v>0.9066077945354603</v>
      </c>
    </row>
    <row r="25" spans="1:2" x14ac:dyDescent="0.25">
      <c r="A25" t="s">
        <v>26</v>
      </c>
      <c r="B25" s="10">
        <f>1-B24</f>
        <v>0.09339220546453975</v>
      </c>
    </row>
    <row r="26" spans="1:2" x14ac:dyDescent="0.25">
      <c r="A26" t="s">
        <v>27</v>
      </c>
      <c r="B26" s="12">
        <f>B24*B20+B25*B21*(1-B8)</f>
        <v>0.07808411842642189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87032000000</v>
      </c>
      <c r="C29" s="8" t="s">
        <v>30</v>
      </c>
    </row>
    <row r="30" spans="1:2" x14ac:dyDescent="0.25">
      <c r="A30" t="s">
        <v>31</v>
      </c>
      <c r="B30" s="11">
        <v>25084000000</v>
      </c>
    </row>
    <row r="31" spans="1:2" x14ac:dyDescent="0.25">
      <c r="A31" t="s">
        <v>32</v>
      </c>
      <c r="B31" s="13">
        <v>2422500000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0.020025694093399382</v>
      </c>
      <c r="C5" s="10">
        <f>Assumptions!B6</f>
        <v>0.020025694093399382</v>
      </c>
      <c r="D5" s="10">
        <f>Assumptions!B6</f>
        <v>0.020025694093399382</v>
      </c>
      <c r="E5" s="10">
        <f>Assumptions!B6</f>
        <v>0.020025694093399382</v>
      </c>
      <c r="F5" s="10">
        <f>Assumptions!B6</f>
        <v>0.020025694093399382</v>
      </c>
    </row>
    <row r="6" spans="1:6" x14ac:dyDescent="0.25">
      <c r="A6" t="s">
        <v>43</v>
      </c>
      <c r="B6" s="18">
        <f>Assumptions!B29*(1+B5)</f>
        <v>88774876208.33673</v>
      </c>
      <c r="C6" s="18">
        <f>B6*(1+C5)</f>
        <v>90552654722.46428</v>
      </c>
      <c r="D6" s="18">
        <f>C6*(1+D5)</f>
        <v>92366034485.28157</v>
      </c>
      <c r="E6" s="18">
        <f>D6*(1+E5)</f>
        <v>94215728436.5042</v>
      </c>
      <c r="F6" s="18">
        <f>E6*(1+F5)</f>
        <v>96102463792.96042</v>
      </c>
    </row>
    <row r="7" spans="1:6" x14ac:dyDescent="0.25">
      <c r="A7" t="s">
        <v>5</v>
      </c>
      <c r="B7" s="10">
        <f>Assumptions!B7</f>
        <v>0.23182683948478283</v>
      </c>
      <c r="C7" s="10">
        <f>Assumptions!B7</f>
        <v>0.23182683948478283</v>
      </c>
      <c r="D7" s="10">
        <f>Assumptions!B7</f>
        <v>0.23182683948478283</v>
      </c>
      <c r="E7" s="10">
        <f>Assumptions!B7</f>
        <v>0.23182683948478283</v>
      </c>
      <c r="F7" s="10">
        <f>Assumptions!B7</f>
        <v>0.23182683948478283</v>
      </c>
    </row>
    <row r="8" spans="1:6" x14ac:dyDescent="0.25">
      <c r="A8" t="s">
        <v>44</v>
      </c>
      <c r="B8" s="18">
        <f>B6*B7</f>
        <v>20580398977.031548</v>
      </c>
      <c r="C8" s="18">
        <f>C6*C7</f>
        <v>20992535751.26569</v>
      </c>
      <c r="D8" s="18">
        <f>D6*D7</f>
        <v>21412925850.465286</v>
      </c>
      <c r="E8" s="18">
        <f>E6*E7</f>
        <v>21841734553.19135</v>
      </c>
      <c r="F8" s="18">
        <f>F6*F7</f>
        <v>22279130447.82279</v>
      </c>
    </row>
    <row r="9" spans="1:6" x14ac:dyDescent="0.25">
      <c r="A9" t="s">
        <v>45</v>
      </c>
      <c r="B9" s="18">
        <f>B8*(1-Assumptions!B8)</f>
        <v>16410228661.031729</v>
      </c>
      <c r="C9" s="18">
        <f>C8*(1-Assumptions!B8)</f>
        <v>16738854880.200285</v>
      </c>
      <c r="D9" s="18">
        <f>D8*(1-Assumptions!B8)</f>
        <v>17074062067.50498</v>
      </c>
      <c r="E9" s="18">
        <f>E8*(1-Assumptions!B8)</f>
        <v>17415982011.40055</v>
      </c>
      <c r="F9" s="18">
        <f>F8*(1-Assumptions!B8)</f>
        <v>17764749139.497</v>
      </c>
    </row>
    <row r="10" spans="1:6" x14ac:dyDescent="0.25">
      <c r="A10" t="s">
        <v>46</v>
      </c>
      <c r="B10" s="18">
        <f>B6*Assumptions!B9</f>
        <v>3054798260.9348054</v>
      </c>
      <c r="C10" s="18">
        <f>C6*Assumptions!B9</f>
        <v>3115972716.4253345</v>
      </c>
      <c r="D10" s="18">
        <f>D6*Assumptions!B9</f>
        <v>3178372232.847847</v>
      </c>
      <c r="E10" s="18">
        <f>E6*Assumptions!B9</f>
        <v>3242021342.8978124</v>
      </c>
      <c r="F10" s="18">
        <f>F6*Assumptions!B9</f>
        <v>3306945070.554956</v>
      </c>
    </row>
    <row r="11" spans="1:6" x14ac:dyDescent="0.25">
      <c r="A11" t="s">
        <v>47</v>
      </c>
      <c r="B11" s="18">
        <f>-B6*Assumptions!B10</f>
        <v>-3823818936.184677</v>
      </c>
      <c r="C11" s="18">
        <f>-C6*Assumptions!B10</f>
        <v>-3900393564.4692593</v>
      </c>
      <c r="D11" s="18">
        <f>-D6*Assumptions!B10</f>
        <v>-3978501652.8351846</v>
      </c>
      <c r="E11" s="18">
        <f>-E6*Assumptions!B10</f>
        <v>-4058173909.884946</v>
      </c>
      <c r="F11" s="18">
        <f>-F6*Assumptions!B10</f>
        <v>-4139441659.182116</v>
      </c>
    </row>
    <row r="12" spans="1:6" x14ac:dyDescent="0.25">
      <c r="A12" t="s">
        <v>48</v>
      </c>
      <c r="B12" s="18">
        <f>-(B6-Assumptions!B29)*Assumptions!B11</f>
        <v>36006296.4831002</v>
      </c>
      <c r="C12" s="18">
        <f>-(C6-B6)*Assumptions!B11</f>
        <v>36727347.561907046</v>
      </c>
      <c r="D12" s="18">
        <f>-(D6-C6)*Assumptions!B11</f>
        <v>37462838.189043894</v>
      </c>
      <c r="E12" s="18">
        <f>-(E6-D6)*Assumptions!B11</f>
        <v>38213057.52648809</v>
      </c>
      <c r="F12" s="18">
        <f>-(F6-E6)*Assumptions!B11</f>
        <v>38978300.52688704</v>
      </c>
    </row>
    <row r="13" spans="1:6" x14ac:dyDescent="0.25">
      <c r="A13" s="19" t="s">
        <v>49</v>
      </c>
      <c r="B13" s="20">
        <f>B9+B10+B11+B12</f>
        <v>15677214282.264957</v>
      </c>
      <c r="C13" s="20">
        <f>C9+C10+C11+C12</f>
        <v>15991161379.718266</v>
      </c>
      <c r="D13" s="20">
        <f>D9+D10+D11+D12</f>
        <v>16311395485.706688</v>
      </c>
      <c r="E13" s="20">
        <f>E9+E10+E11+E12</f>
        <v>16638042501.939905</v>
      </c>
      <c r="F13" s="20">
        <f>F9+F10+F11+F12</f>
        <v>16971230851.396729</v>
      </c>
    </row>
    <row r="14" spans="1:6" x14ac:dyDescent="0.25">
      <c r="A14" t="s">
        <v>50</v>
      </c>
      <c r="B14" s="21">
        <f>1/(1+Assumptions!$B$26)^(1-0.5*Assumptions!$B$32)</f>
        <v>0.9631050849178752</v>
      </c>
      <c r="C14" s="21">
        <f>1/(1+Assumptions!$B$26)^(2-0.5*Assumptions!$B$32)</f>
        <v>0.89334873638954</v>
      </c>
      <c r="D14" s="21">
        <f>1/(1+Assumptions!$B$26)^(3-0.5*Assumptions!$B$32)</f>
        <v>0.8286447422057172</v>
      </c>
      <c r="E14" s="21">
        <f>1/(1+Assumptions!$B$26)^(4-0.5*Assumptions!$B$32)</f>
        <v>0.7686271674377431</v>
      </c>
      <c r="F14" s="21">
        <f>1/(1+Assumptions!$B$26)^(5-0.5*Assumptions!$B$32)</f>
        <v>0.7129565813098482</v>
      </c>
    </row>
    <row r="15" spans="1:6" x14ac:dyDescent="0.25">
      <c r="A15" s="19" t="s">
        <v>51</v>
      </c>
      <c r="B15" s="20">
        <f>B13*B14</f>
        <v>15098804792.596518</v>
      </c>
      <c r="C15" s="20">
        <f>C13*C14</f>
        <v>14285683811.972527</v>
      </c>
      <c r="D15" s="20">
        <f>D13*D14</f>
        <v>13516352107.268917</v>
      </c>
      <c r="E15" s="20">
        <f>E13*E14</f>
        <v>12788451479.97485</v>
      </c>
      <c r="F15" s="20">
        <f>F13*F14</f>
        <v>12099750728.432035</v>
      </c>
    </row>
    <row r="17" spans="1:2" x14ac:dyDescent="0.25">
      <c r="A17" s="22" t="s">
        <v>52</v>
      </c>
      <c r="B17" s="23">
        <f>SUM(B15:F15)</f>
        <v>67789042920.24486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16971230851.396729</v>
      </c>
    </row>
    <row r="5" spans="1:2" x14ac:dyDescent="0.25">
      <c r="A5" t="s">
        <v>56</v>
      </c>
      <c r="B5" s="18">
        <f>IF(Assumptions!$B$33=0,B4,B4-Forecast!F11-Forecast!F10-Forecast!F12)</f>
        <v>17764749139.497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0.13505430064475785</v>
      </c>
    </row>
    <row r="7" spans="1:2" x14ac:dyDescent="0.25">
      <c r="A7" t="s">
        <v>58</v>
      </c>
      <c r="B7" s="18">
        <f>-MAX(Forecast!F9,0)*B6</f>
        <v>-2399205771.1643314</v>
      </c>
    </row>
    <row r="8" spans="1:2" x14ac:dyDescent="0.25">
      <c r="A8" t="s">
        <v>59</v>
      </c>
      <c r="B8" s="18">
        <f>IF(OR(Assumptions!$B$33=0,Assumptions!B12&lt;=0),B5,MAX(B5+B7,0))</f>
        <v>15365543368.33267</v>
      </c>
    </row>
    <row r="9" spans="1:2" x14ac:dyDescent="0.25">
      <c r="A9" t="s">
        <v>60</v>
      </c>
      <c r="B9" s="18">
        <f>B8*(1+Assumptions!B12)/(Assumptions!B26-Assumptions!B12)</f>
        <v>296692917192.75867</v>
      </c>
    </row>
    <row r="10" spans="1:2" x14ac:dyDescent="0.25">
      <c r="A10" t="s">
        <v>61</v>
      </c>
      <c r="B10" s="18">
        <f>B9/(1+Assumptions!B26)^(5-0.5*Assumptions!B32)</f>
        <v>211529167940.5951</v>
      </c>
    </row>
    <row r="11" spans="1:2" x14ac:dyDescent="0.25">
      <c r="A11" t="s">
        <v>62</v>
      </c>
      <c r="B11" s="18">
        <f>Forecast!B17+B10</f>
        <v>279318210860.83997</v>
      </c>
    </row>
    <row r="12" spans="1:2" x14ac:dyDescent="0.25">
      <c r="A12" t="s">
        <v>63</v>
      </c>
      <c r="B12" s="18">
        <f>-Assumptions!B30</f>
        <v>-25084000000</v>
      </c>
    </row>
    <row r="13" spans="1:2" x14ac:dyDescent="0.25">
      <c r="A13" t="s">
        <v>64</v>
      </c>
      <c r="B13" s="18">
        <f>B11+B12</f>
        <v>254234210860.83997</v>
      </c>
    </row>
    <row r="14" spans="1:2" x14ac:dyDescent="0.25">
      <c r="A14" s="19" t="s">
        <v>65</v>
      </c>
      <c r="B14" s="24">
        <f>B13/Assumptions!B31</f>
        <v>104.9470426670134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25586075518.377743</v>
      </c>
    </row>
    <row r="18" spans="1:2" x14ac:dyDescent="0.25">
      <c r="A18" t="s">
        <v>60</v>
      </c>
      <c r="B18" s="18">
        <f>B17*Assumptions!B13</f>
        <v>407782272689.0353</v>
      </c>
    </row>
    <row r="19" spans="1:2" x14ac:dyDescent="0.25">
      <c r="A19" t="s">
        <v>61</v>
      </c>
      <c r="B19" s="18">
        <f>B18/(1+Assumptions!B26)^(5-0.5*Assumptions!B32)</f>
        <v>290731055055.1349</v>
      </c>
    </row>
    <row r="20" spans="1:2" x14ac:dyDescent="0.25">
      <c r="A20" t="s">
        <v>62</v>
      </c>
      <c r="B20" s="18">
        <f>Forecast!B17+B19</f>
        <v>358520097975.37976</v>
      </c>
    </row>
    <row r="21" spans="1:2" x14ac:dyDescent="0.25">
      <c r="A21" t="s">
        <v>63</v>
      </c>
      <c r="B21" s="18">
        <f>-Assumptions!B30</f>
        <v>-25084000000</v>
      </c>
    </row>
    <row r="22" spans="1:2" x14ac:dyDescent="0.25">
      <c r="A22" t="s">
        <v>64</v>
      </c>
      <c r="B22" s="18">
        <f>B20+B21</f>
        <v>333436097975.37976</v>
      </c>
    </row>
    <row r="23" spans="1:2" x14ac:dyDescent="0.25">
      <c r="A23" s="19" t="s">
        <v>65</v>
      </c>
      <c r="B23" s="25">
        <f>B22/Assumptions!B31</f>
        <v>137.64132011367585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146.39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104.9470426670134</v>
      </c>
    </row>
    <row r="29" spans="1:2" x14ac:dyDescent="0.25">
      <c r="A29" s="19" t="s">
        <v>73</v>
      </c>
      <c r="B29" s="12">
        <f>B28/B26-1</f>
        <v>-0.2830996470591337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0.058084</v>
      </c>
      <c r="B5" s="31">
        <v>142.06083361043218</v>
      </c>
      <c r="C5" s="31">
        <v>154.79936856619597</v>
      </c>
      <c r="D5" s="31">
        <v>171.341826547237</v>
      </c>
      <c r="E5" s="31">
        <v>193.71992829772154</v>
      </c>
      <c r="F5" s="31">
        <v>225.72567938608</v>
      </c>
    </row>
    <row r="6" spans="1:6" x14ac:dyDescent="0.25">
      <c r="A6" s="30">
        <v>0.068084</v>
      </c>
      <c r="B6" s="31">
        <v>114.06283192863127</v>
      </c>
      <c r="C6" s="31">
        <v>121.4217663596859</v>
      </c>
      <c r="D6" s="31">
        <v>130.4545625723606</v>
      </c>
      <c r="E6" s="31">
        <v>141.8204981300495</v>
      </c>
      <c r="F6" s="31">
        <v>156.5773982707894</v>
      </c>
    </row>
    <row r="7" spans="1:6" x14ac:dyDescent="0.25">
      <c r="A7" s="30">
        <v>0.078084</v>
      </c>
      <c r="B7" s="31">
        <v>94.93314127711916</v>
      </c>
      <c r="C7" s="31">
        <v>99.5213511626396</v>
      </c>
      <c r="D7" s="32">
        <v>104.94728797647787</v>
      </c>
      <c r="E7" s="31">
        <v>111.47228405214972</v>
      </c>
      <c r="F7" s="31">
        <v>119.47898466232023</v>
      </c>
    </row>
    <row r="8" spans="1:6" x14ac:dyDescent="0.25">
      <c r="A8" s="30">
        <v>0.088084</v>
      </c>
      <c r="B8" s="31">
        <v>81.03177501238255</v>
      </c>
      <c r="C8" s="31">
        <v>84.04159531597456</v>
      </c>
      <c r="D8" s="31">
        <v>87.50705370336779</v>
      </c>
      <c r="E8" s="31">
        <v>91.54581719572168</v>
      </c>
      <c r="F8" s="31">
        <v>96.31988520103877</v>
      </c>
    </row>
    <row r="9" spans="1:6" x14ac:dyDescent="0.25">
      <c r="A9" s="30">
        <v>0.098084</v>
      </c>
      <c r="B9" s="31">
        <v>70.47116408803923</v>
      </c>
      <c r="C9" s="31">
        <v>72.51623342181036</v>
      </c>
      <c r="D9" s="31">
        <v>74.82333825690445</v>
      </c>
      <c r="E9" s="31">
        <v>77.45020922782969</v>
      </c>
      <c r="F9" s="31">
        <v>80.47287975094297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87032000000</v>
      </c>
      <c r="C5" s="18">
        <v>84284000000</v>
      </c>
      <c r="D5" s="18">
        <v>84039000000</v>
      </c>
      <c r="E5" s="18">
        <v>82006000000</v>
      </c>
      <c r="F5" s="8" t="s">
        <v>84</v>
      </c>
    </row>
    <row r="6" spans="1:6" x14ac:dyDescent="0.25">
      <c r="A6" t="s">
        <v>44</v>
      </c>
      <c r="B6" s="18">
        <v>19748000000</v>
      </c>
      <c r="C6" s="18">
        <v>20451000000</v>
      </c>
      <c r="D6" s="18">
        <v>19886000000</v>
      </c>
      <c r="E6" s="18">
        <v>18134000000</v>
      </c>
      <c r="F6" s="8" t="s">
        <v>85</v>
      </c>
    </row>
    <row r="7" spans="1:6" x14ac:dyDescent="0.25">
      <c r="A7" t="s">
        <v>86</v>
      </c>
      <c r="B7" s="18">
        <v>3160000000</v>
      </c>
      <c r="C7" s="18">
        <v>2847000000</v>
      </c>
      <c r="D7" s="18">
        <v>2896000000</v>
      </c>
      <c r="E7" s="18">
        <v>2714000000</v>
      </c>
      <c r="F7" s="8" t="s">
        <v>87</v>
      </c>
    </row>
    <row r="8" spans="1:6" x14ac:dyDescent="0.25">
      <c r="A8" t="s">
        <v>88</v>
      </c>
      <c r="B8" s="18">
        <v>4409000000</v>
      </c>
      <c r="C8" s="18">
        <v>3773000000</v>
      </c>
      <c r="D8" s="18">
        <v>3322000000</v>
      </c>
      <c r="E8" s="18">
        <v>3062000000</v>
      </c>
      <c r="F8" s="8" t="s">
        <v>89</v>
      </c>
    </row>
    <row r="9" spans="1:6" x14ac:dyDescent="0.25">
      <c r="A9" t="s">
        <v>90</v>
      </c>
      <c r="B9" s="18">
        <v>-362000000</v>
      </c>
      <c r="C9" s="18">
        <v>821000000</v>
      </c>
      <c r="D9" s="18">
        <v>-42000000</v>
      </c>
      <c r="E9" s="18">
        <v>873000000</v>
      </c>
      <c r="F9" s="8" t="s">
        <v>91</v>
      </c>
    </row>
    <row r="10" spans="1:6" x14ac:dyDescent="0.25">
      <c r="A10" t="s">
        <v>92</v>
      </c>
      <c r="B10" s="18">
        <v>35026000000</v>
      </c>
      <c r="C10" s="18">
        <v>35463000000</v>
      </c>
      <c r="D10" s="18">
        <v>33369000000</v>
      </c>
      <c r="E10" s="18">
        <v>35424000000</v>
      </c>
      <c r="F10" s="8" t="s">
        <v>93</v>
      </c>
    </row>
    <row r="11" spans="1:6" x14ac:dyDescent="0.25">
      <c r="A11" t="s">
        <v>94</v>
      </c>
      <c r="B11" s="18">
        <v>9942000000</v>
      </c>
      <c r="C11" s="18">
        <v>9556000000</v>
      </c>
      <c r="D11" s="18">
        <v>9482000000</v>
      </c>
      <c r="E11" s="18">
        <v>8246000000</v>
      </c>
      <c r="F11" s="8" t="s">
        <v>95</v>
      </c>
    </row>
    <row r="12" spans="1:6" x14ac:dyDescent="0.25">
      <c r="A12" t="s">
        <v>32</v>
      </c>
      <c r="B12" s="34">
        <v>2422500000</v>
      </c>
      <c r="C12" s="34">
        <v>2454400000</v>
      </c>
      <c r="D12" s="34">
        <v>2471900000</v>
      </c>
      <c r="E12" s="34">
        <v>2483900000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2026-09-19T00:07:44Z</dcterms:modified>
</cp:coreProperties>
</file>