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<sst xmlns="http://schemas.openxmlformats.org/spreadsheetml/2006/main" count="120" uniqueCount="107">
  <si>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 Procter &amp; Gamble Company (PG)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</si>
  <si>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</si>
  <si>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</si>
  <si>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</si>
  <si>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</si>
  <si>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</si>
  <si>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</si>
  <si>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</si>
  <si>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</si>
  <si>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</si>
  <si>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</si>
  <si>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</si>
  <si>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</si>
  <si>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</si>
  <si>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</si>
  <si>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</si>
  <si>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</si>
  <si>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</si>
  <si>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</si>
  <si>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</si>
  <si>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</si>
  <si>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</si>
  <si>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</si>
  <si>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</si>
  <si>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22.5x interest cover. Book interest / average debt was lower, at 2.5%.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</si>
  <si>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</si>
  <si>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</si>
  <si>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</si>
  <si>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</si>
  <si>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</si>
  <si>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</si>
  <si>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</si>
  <si>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</si>
  <si>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</si>
  <si>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</si>
  <si>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</si>
  <si>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</si>
  <si>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</si>
  <si>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</si>
  <si>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</si>
  <si>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</si>
  <si>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</si>
  <si>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</si>
  <si>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</si>
  <si>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</si>
  <si>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</si>
  <si>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</si>
  <si>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</si>
  <si>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</si>
  <si>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</si>
  <si>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</si>
  <si>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</si>
  <si>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</si>
  <si>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</si>
  <si>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</si>
  <si>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</si>
  <si>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</si>
  <si>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</si>
  <si>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</si>
  <si>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</si>
  <si>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</si>
  <si>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</si>
  <si>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</si>
  <si>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</si>
  <si>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</si>
  <si>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</si>
  <si>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</si>
  <si>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</si>
  <si>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</si>
  <si>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</si>
  <si>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</si>
  <si>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</si>
  <si>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</si>
  <si>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</si>
  <si>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</si>
  <si>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</si>
  <si>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</si>
  <si>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</si>
  <si>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</si>
  <si>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</si>
  <si>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</si>
  <si>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</si>
  <si>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</si>
  <si>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</si>
  <si>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</si>
  <si>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</si>
  <si>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</si>
  <si>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</si>
  <si>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</si>
  <si>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</si>
  <si>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</si>
  <si>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</si>
  <si>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</si>
  <si>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</si>
  <si>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</si>
  <si>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</si>
  <si>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</si>
  <si>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</si>
  <si>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</si>
  <si>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</si>
  <si>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</si>
  <si>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</si>
  <si>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</si>
  <si>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</si>
  <si>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</si>
  <si>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4.3% of revenue against depreciation of 3.4%.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</si>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</sst>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0.030857203902012964</v>
      </c>
    </row>
    <row r="7" spans="1:2" x14ac:dyDescent="0.25">
      <c r="A7" t="s">
        <v>4</v>
      </c>
      <c r="B7" s="5">
        <v>0.23182683948478283</v>
      </c>
    </row>
    <row r="8" spans="1:2" x14ac:dyDescent="0.25">
      <c r="A8" t="s">
        <v>5</v>
      </c>
      <c r="B8" s="5">
        <v>0.20262825422645486</v>
      </c>
    </row>
    <row r="9" spans="1:2" x14ac:dyDescent="0.25">
      <c r="A9" t="s">
        <v>6</v>
      </c>
      <c r="B9" s="5">
        <v>0.034410616960656865</v>
      </c>
    </row>
    <row r="10" spans="1:3" x14ac:dyDescent="0.25">
      <c r="A10" t="s">
        <v>7</v>
      </c>
      <c r="B10" s="5">
        <v>0.043073210569293786</v>
      </c>
      <c r="C10" s="6" t="s">
        <v>8</v>
      </c>
    </row>
    <row r="11" spans="1:2" x14ac:dyDescent="0.25">
      <c r="A11" t="s">
        <v>9</v>
      </c>
      <c r="B11" s="5">
        <v>-0.02447310161529055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17.442301306792388</v>
      </c>
    </row>
    <row r="14" spans="1:3" x14ac:dyDescent="0.25">
      <c r="A14" t="s">
        <v>12</v>
      </c>
      <c r="B14" s="5">
        <v>0.18511072865246353</v>
      </c>
      <c r="C14" s="6" t="s">
        <v>13</v>
      </c>
    </row>
    <row r="15" spans="1:3" x14ac:dyDescent="0.25">
      <c r="A15" t="s">
        <v>14</v>
      </c>
      <c r="B15" s="5">
        <v>0.034410616960656865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0.5825899999999999</v>
      </c>
      <c r="C19" s="6" t="s">
        <v>21</v>
      </c>
    </row>
    <row r="20" spans="1:2" x14ac:dyDescent="0.25">
      <c r="A20" t="s">
        <v>22</v>
      </c>
      <c r="B20" s="9">
        <f>B17+B19*B18</f>
        <v>0.073583557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374484238336</v>
      </c>
    </row>
    <row r="23" spans="1:2" x14ac:dyDescent="0.25">
      <c r="A23" t="s">
        <v>26</v>
      </c>
      <c r="B23" s="10">
        <v>35026000000</v>
      </c>
    </row>
    <row r="24" spans="1:2" x14ac:dyDescent="0.25">
      <c r="A24" t="s">
        <v>27</v>
      </c>
      <c r="B24" s="9">
        <f>B22/(B22+B23)</f>
        <v>0.9144685609270129</v>
      </c>
    </row>
    <row r="25" spans="1:2" x14ac:dyDescent="0.25">
      <c r="A25" t="s">
        <v>28</v>
      </c>
      <c r="B25" s="9">
        <f>1-B24</f>
        <v>0.0855314390729871</v>
      </c>
    </row>
    <row r="26" spans="1:2" x14ac:dyDescent="0.25">
      <c r="A26" t="s">
        <v>29</v>
      </c>
      <c r="B26" s="11">
        <f>B24*B20+B25*B21*(1-B8)</f>
        <v>0.07090037615979132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87032000000</v>
      </c>
      <c r="C29" s="6" t="s">
        <v>32</v>
      </c>
    </row>
    <row r="30" spans="1:2" x14ac:dyDescent="0.25">
      <c r="A30" t="s">
        <v>33</v>
      </c>
      <c r="B30" s="10">
        <v>25084000000</v>
      </c>
    </row>
    <row r="31" spans="1:2" x14ac:dyDescent="0.25">
      <c r="A31" t="s">
        <v>34</v>
      </c>
      <c r="B31" s="12">
        <v>2422500000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0.030857203902012964</v>
      </c>
      <c r="C5" s="5">
        <v>0.031288398609228496</v>
      </c>
      <c r="D5" s="5">
        <v>0.030502348783074933</v>
      </c>
      <c r="E5" s="5">
        <v>0.02971629895692137</v>
      </c>
      <c r="F5" s="5">
        <v>0.02893024913076781</v>
      </c>
      <c r="G5" s="5">
        <v>0.02814419930461425</v>
      </c>
      <c r="H5" s="5">
        <v>0.027358149478460686</v>
      </c>
      <c r="I5" s="5">
        <v>0.026572099652307127</v>
      </c>
      <c r="J5" s="5">
        <v>0.025786049826153564</v>
      </c>
      <c r="K5" s="5">
        <v>0.025</v>
      </c>
    </row>
    <row r="6" spans="1:11" x14ac:dyDescent="0.25">
      <c r="A6" t="s">
        <v>50</v>
      </c>
      <c r="B6" s="18">
        <f>Assumptions!B29*(1+B5)</f>
        <v>89717564169.99998</v>
      </c>
      <c r="C6" s="18">
        <f>B6*(1+C5)</f>
        <v>92524683079.99998</v>
      </c>
      <c r="D6" s="18">
        <f>C6*(1+D5)</f>
        <v>95346903234.34961</v>
      </c>
      <c r="E6" s="18">
        <f>D6*(1+E5)</f>
        <v>98180260315.4782</v>
      </c>
      <c r="F6" s="18">
        <f>E6*(1+F5)</f>
        <v>101020639706.12863</v>
      </c>
      <c r="G6" s="18">
        <f>F6*(1+G5)</f>
        <v>103863784723.89755</v>
      </c>
      <c r="H6" s="18">
        <f>G6*(1+H5)</f>
        <v>106705305671.77261</v>
      </c>
      <c r="I6" s="18">
        <f>H6*(1+I5)</f>
        <v>109540689687.51285</v>
      </c>
      <c r="J6" s="18">
        <f>I6*(1+J5)</f>
        <v>112365311369.78627</v>
      </c>
      <c r="K6" s="18">
        <f>J6*(1+K5)</f>
        <v>115174444154.03091</v>
      </c>
    </row>
    <row r="7" spans="1:11" x14ac:dyDescent="0.25">
      <c r="A7" t="s">
        <v>4</v>
      </c>
      <c r="B7" s="9">
        <f>Assumptions!B7</f>
        <v>0.23182683948478283</v>
      </c>
      <c r="C7" s="9">
        <f>Assumptions!B7</f>
        <v>0.23182683948478283</v>
      </c>
      <c r="D7" s="9">
        <f>Assumptions!B7</f>
        <v>0.23182683948478283</v>
      </c>
      <c r="E7" s="9">
        <f>Assumptions!B7</f>
        <v>0.23182683948478283</v>
      </c>
      <c r="F7" s="9">
        <f>Assumptions!B7</f>
        <v>0.23182683948478283</v>
      </c>
      <c r="G7" s="9">
        <f>Assumptions!B7</f>
        <v>0.23182683948478283</v>
      </c>
      <c r="H7" s="9">
        <f>Assumptions!B7</f>
        <v>0.23182683948478283</v>
      </c>
      <c r="I7" s="9">
        <f>Assumptions!B7</f>
        <v>0.23182683948478283</v>
      </c>
      <c r="J7" s="9">
        <f>Assumptions!B7</f>
        <v>0.23182683948478283</v>
      </c>
      <c r="K7" s="9">
        <f>Assumptions!B7</f>
        <v>0.23182683948478283</v>
      </c>
    </row>
    <row r="8" spans="1:11" x14ac:dyDescent="0.25">
      <c r="A8" t="s">
        <v>51</v>
      </c>
      <c r="B8" s="18">
        <f>B6*B7</f>
        <v>20798939347.80429</v>
      </c>
      <c r="C8" s="18">
        <f>C6*C7</f>
        <v>21449704852.76756</v>
      </c>
      <c r="D8" s="18">
        <f>D6*D7</f>
        <v>22103971231.480686</v>
      </c>
      <c r="E8" s="18">
        <f>E6*E7</f>
        <v>22760819448.730556</v>
      </c>
      <c r="F8" s="18">
        <f>F6*F7</f>
        <v>23419295625.80276</v>
      </c>
      <c r="G8" s="18">
        <f>G6*G7</f>
        <v>24078412949.469036</v>
      </c>
      <c r="H8" s="18">
        <f>H6*H7</f>
        <v>24737153770.14472</v>
      </c>
      <c r="I8" s="18">
        <f>I6*I7</f>
        <v>25394471885.23945</v>
      </c>
      <c r="J8" s="18">
        <f>J6*J7</f>
        <v>26049295002.581085</v>
      </c>
      <c r="K8" s="18">
        <f>K6*K7</f>
        <v>26700527377.64561</v>
      </c>
    </row>
    <row r="9" spans="1:11" x14ac:dyDescent="0.25">
      <c r="A9" t="s">
        <v>52</v>
      </c>
      <c r="B9" s="18">
        <f>B8*(1-Assumptions!B8)</f>
        <v>16584486577.996788</v>
      </c>
      <c r="C9" s="18">
        <f>C8*(1-Assumptions!B8)</f>
        <v>17103388604.778553</v>
      </c>
      <c r="D9" s="18">
        <f>D8*(1-Assumptions!B8)</f>
        <v>17625082129.373974</v>
      </c>
      <c r="E9" s="18">
        <f>E8*(1-Assumptions!B8)</f>
        <v>18148834339.070744</v>
      </c>
      <c r="F9" s="18">
        <f>F8*(1-Assumptions!B8)</f>
        <v>18673884637.933098</v>
      </c>
      <c r="G9" s="18">
        <f>G8*(1-Assumptions!B8)</f>
        <v>19199446168.974464</v>
      </c>
      <c r="H9" s="18">
        <f>H8*(1-Assumptions!B8)</f>
        <v>19724707487.16893</v>
      </c>
      <c r="I9" s="18">
        <f>I8*(1-Assumptions!B8)</f>
        <v>20248834380.130592</v>
      </c>
      <c r="J9" s="18">
        <f>J8*(1-Assumptions!B8)</f>
        <v>20770971832.378166</v>
      </c>
      <c r="K9" s="18">
        <f>K8*(1-Assumptions!B8)</f>
        <v>21290246128.18762</v>
      </c>
    </row>
    <row r="10" spans="1:11" x14ac:dyDescent="0.25">
      <c r="A10" t="s">
        <v>53</v>
      </c>
      <c r="B10" s="18">
        <f>B6*Assumptions!B9</f>
        <v>3087236735.297022</v>
      </c>
      <c r="C10" s="18">
        <f>C6*Assumptions!B9</f>
        <v>3183831428.872049</v>
      </c>
      <c r="D10" s="18">
        <f>D6*Assumptions!B9</f>
        <v>3280945765.5820193</v>
      </c>
      <c r="E10" s="18">
        <f>E6*Assumptions!B9</f>
        <v>3378443330.8135</v>
      </c>
      <c r="F10" s="18">
        <f>F6*Assumptions!B9</f>
        <v>3476182538.048116</v>
      </c>
      <c r="G10" s="18">
        <f>G6*Assumptions!B9</f>
        <v>3574016912.2181625</v>
      </c>
      <c r="H10" s="18">
        <f>H6*Assumptions!B9</f>
        <v>3671795401.141174</v>
      </c>
      <c r="I10" s="18">
        <f>I6*Assumptions!B9</f>
        <v>3769362714.44318</v>
      </c>
      <c r="J10" s="18">
        <f>J6*Assumptions!B9</f>
        <v>3866559689.210657</v>
      </c>
      <c r="K10" s="18">
        <f>K6*Assumptions!B9</f>
        <v>3963223681.440923</v>
      </c>
    </row>
    <row r="11" spans="1:11" x14ac:dyDescent="0.25">
      <c r="A11" t="s">
        <v>54</v>
      </c>
      <c r="B11" s="18">
        <f>-B6*B19</f>
        <v>-3864423533.258537</v>
      </c>
      <c r="C11" s="18">
        <f>-C6*C19</f>
        <v>-4152933208.09356</v>
      </c>
      <c r="D11" s="18">
        <f>-D6*D19</f>
        <v>-4452317610.416069</v>
      </c>
      <c r="E11" s="18">
        <f>-E6*E19</f>
        <v>-4762466504.209202</v>
      </c>
      <c r="F11" s="18">
        <f>-F6*F19</f>
        <v>-5083233366.901603</v>
      </c>
      <c r="G11" s="18">
        <f>-G6*G19</f>
        <v>-5414434457.380375</v>
      </c>
      <c r="H11" s="18">
        <f>-H6*H19</f>
        <v>-5755848017.515835</v>
      </c>
      <c r="I11" s="18">
        <f>-I6*I19</f>
        <v>-6107213616.588282</v>
      </c>
      <c r="J11" s="18">
        <f>-J6*J19</f>
        <v>-6468231647.474523</v>
      </c>
      <c r="K11" s="18">
        <f>-K6*K19</f>
        <v>-6838562982.838065</v>
      </c>
    </row>
    <row r="12" spans="1:11" x14ac:dyDescent="0.25">
      <c r="A12" t="s">
        <v>55</v>
      </c>
      <c r="B12" s="18">
        <f>-(B6-Assumptions!B29)*Assumptions!B11</f>
        <v>65724084.82679306</v>
      </c>
      <c r="C12" s="18">
        <f>-(C6-B6)*Assumptions!B11</f>
        <v>68698906.33063366</v>
      </c>
      <c r="D12" s="18">
        <f>-(D6-C6)*Assumptions!B11</f>
        <v>69068480.61811934</v>
      </c>
      <c r="E12" s="18">
        <f>-(E6-D6)*Assumptions!B11</f>
        <v>69341035.75886291</v>
      </c>
      <c r="F12" s="18">
        <f>-(F6-E6)*Assumptions!B11</f>
        <v>69512893.45336519</v>
      </c>
      <c r="G12" s="18">
        <f>-(G6-F6)*Assumptions!B11</f>
        <v>69580576.92686586</v>
      </c>
      <c r="H12" s="18">
        <f>-(H6-G6)*Assumptions!B11</f>
        <v>69540830.89932309</v>
      </c>
      <c r="I12" s="18">
        <f>-(I6-H6)*Assumptions!B11</f>
        <v>69390641.13558134</v>
      </c>
      <c r="J12" s="18">
        <f>-(J6-I6)*Assumptions!B11</f>
        <v>69127253.45503041</v>
      </c>
      <c r="K12" s="18">
        <f>-(K6-J6)*Assumptions!B11</f>
        <v>68748192.07966325</v>
      </c>
    </row>
    <row r="13" spans="1:11" x14ac:dyDescent="0.25">
      <c r="A13" s="19" t="s">
        <v>56</v>
      </c>
      <c r="B13" s="20">
        <f>B9+B10+B11+B12</f>
        <v>15873023864.862064</v>
      </c>
      <c r="C13" s="20">
        <f>C9+C10+C11+C12</f>
        <v>16202985731.887674</v>
      </c>
      <c r="D13" s="20">
        <f>D9+D10+D11+D12</f>
        <v>16522778765.158045</v>
      </c>
      <c r="E13" s="20">
        <f>E9+E10+E11+E12</f>
        <v>16834152201.433905</v>
      </c>
      <c r="F13" s="20">
        <f>F9+F10+F11+F12</f>
        <v>17136346702.532974</v>
      </c>
      <c r="G13" s="20">
        <f>G9+G10+G11+G12</f>
        <v>17428609200.739117</v>
      </c>
      <c r="H13" s="20">
        <f>H9+H10+H11+H12</f>
        <v>17710195701.693592</v>
      </c>
      <c r="I13" s="20">
        <f>I9+I10+I11+I12</f>
        <v>17980374119.12107</v>
      </c>
      <c r="J13" s="20">
        <f>J9+J10+J11+J12</f>
        <v>18238427127.56933</v>
      </c>
      <c r="K13" s="20">
        <f>K9+K10+K11+K12</f>
        <v>18483655018.870136</v>
      </c>
    </row>
    <row r="14" spans="1:11" x14ac:dyDescent="0.25">
      <c r="A14" t="s">
        <v>57</v>
      </c>
      <c r="B14" s="21">
        <f>1/(1+Assumptions!$B$26)^(1-0.5*Assumptions!$B$32)</f>
        <v>0.9663300042128887</v>
      </c>
      <c r="C14" s="21">
        <f>1/(1+Assumptions!$B$26)^(2-0.5*Assumptions!$B$32)</f>
        <v>0.9023528478700438</v>
      </c>
      <c r="D14" s="21">
        <f>1/(1+Assumptions!$B$26)^(3-0.5*Assumptions!$B$32)</f>
        <v>0.8426113838019623</v>
      </c>
      <c r="E14" s="21">
        <f>1/(1+Assumptions!$B$26)^(4-0.5*Assumptions!$B$32)</f>
        <v>0.7868251823979512</v>
      </c>
      <c r="F14" s="21">
        <f>1/(1+Assumptions!$B$26)^(5-0.5*Assumptions!$B$32)</f>
        <v>0.7347323802606897</v>
      </c>
      <c r="G14" s="21">
        <f>1/(1+Assumptions!$B$26)^(6-0.5*Assumptions!$B$32)</f>
        <v>0.6860884510055104</v>
      </c>
      <c r="H14" s="21">
        <f>1/(1+Assumptions!$B$26)^(7-0.5*Assumptions!$B$32)</f>
        <v>0.6406650574405417</v>
      </c>
      <c r="I14" s="21">
        <f>1/(1+Assumptions!$B$26)^(8-0.5*Assumptions!$B$32)</f>
        <v>0.59824897973978</v>
      </c>
      <c r="J14" s="21">
        <f>1/(1+Assumptions!$B$26)^(9-0.5*Assumptions!$B$32)</f>
        <v>0.558641114577883</v>
      </c>
      <c r="K14" s="21">
        <f>1/(1+Assumptions!$B$26)^(10-0.5*Assumptions!$B$32)</f>
        <v>0.5216555405285682</v>
      </c>
    </row>
    <row r="15" spans="1:11" x14ac:dyDescent="0.25">
      <c r="A15" s="19" t="s">
        <v>58</v>
      </c>
      <c r="B15" s="20">
        <f>B13*B14</f>
        <v>15338579218.203442</v>
      </c>
      <c r="C15" s="20">
        <f>C13*C14</f>
        <v>14620810319.166529</v>
      </c>
      <c r="D15" s="20">
        <f>D13*D14</f>
        <v>13922281479.563498</v>
      </c>
      <c r="E15" s="20">
        <f>E13*E14</f>
        <v>13245534876.408104</v>
      </c>
      <c r="F15" s="20">
        <f>F13*F14</f>
        <v>12590628801.724472</v>
      </c>
      <c r="G15" s="20">
        <f>G13*G14</f>
        <v>11957567489.715487</v>
      </c>
      <c r="H15" s="20">
        <f>H13*H14</f>
        <v>11346303546.50876</v>
      </c>
      <c r="I15" s="20">
        <f>I13*I14</f>
        <v>10756740472.103725</v>
      </c>
      <c r="J15" s="20">
        <f>J13*J14</f>
        <v>10188735258.692827</v>
      </c>
      <c r="K15" s="20">
        <f>K13*K14</f>
        <v>9642101049.812284</v>
      </c>
    </row>
    <row r="17" spans="1:2" x14ac:dyDescent="0.25">
      <c r="A17" s="22" t="s">
        <v>59</v>
      </c>
      <c r="B17" s="23">
        <f>SUM(B15:K15)</f>
        <v>123609282511.89912</v>
      </c>
    </row>
    <row r="19" spans="1:11" x14ac:dyDescent="0.25">
      <c r="A19" t="s">
        <v>7</v>
      </c>
      <c r="B19" s="9">
        <f>Assumptions!$B$10+($B$20-Assumptions!$B$10)*0/9</f>
        <v>0.043073210569293786</v>
      </c>
      <c r="C19" s="9">
        <f>Assumptions!$B$10+($B$20-Assumptions!$B$10)*1/9</f>
        <v>0.04488459803210342</v>
      </c>
      <c r="D19" s="9">
        <f>Assumptions!$B$10+($B$20-Assumptions!$B$10)*2/9</f>
        <v>0.046695985494913064</v>
      </c>
      <c r="E19" s="9">
        <f>Assumptions!$B$10+($B$20-Assumptions!$B$10)*3/9</f>
        <v>0.0485073729577227</v>
      </c>
      <c r="F19" s="9">
        <f>Assumptions!$B$10+($B$20-Assumptions!$B$10)*4/9</f>
        <v>0.050318760420532335</v>
      </c>
      <c r="G19" s="9">
        <f>Assumptions!$B$10+($B$20-Assumptions!$B$10)*5/9</f>
        <v>0.05213014788334198</v>
      </c>
      <c r="H19" s="9">
        <f>Assumptions!$B$10+($B$20-Assumptions!$B$10)*6/9</f>
        <v>0.05394153534615161</v>
      </c>
      <c r="I19" s="9">
        <f>Assumptions!$B$10+($B$20-Assumptions!$B$10)*7/9</f>
        <v>0.05575292280896125</v>
      </c>
      <c r="J19" s="9">
        <f>Assumptions!$B$10+($B$20-Assumptions!$B$10)*8/9</f>
        <v>0.05756431027177089</v>
      </c>
      <c r="K19" s="9">
        <f>Assumptions!$B$10+($B$20-Assumptions!$B$10)*9/9</f>
        <v>0.059375697734580526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0.059375697734580526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18483655018.870136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21290246128.18762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0.13505430064475785</v>
      </c>
    </row>
    <row r="7" spans="1:2" x14ac:dyDescent="0.25">
      <c r="A7" t="s">
        <v>66</v>
      </c>
      <c r="B7" s="18">
        <f>-MAX(B5,0)*B6</f>
        <v>-2875339301.3971424</v>
      </c>
    </row>
    <row r="8" spans="1:2" x14ac:dyDescent="0.25">
      <c r="A8" t="s">
        <v>67</v>
      </c>
      <c r="B8" s="18">
        <f>IF(OR(Assumptions!$B$33=0,Assumptions!B12&lt;=0),B5,MAX(B5+B7,0))</f>
        <v>18414906826.790474</v>
      </c>
    </row>
    <row r="9" spans="1:2" x14ac:dyDescent="0.25">
      <c r="A9" t="s">
        <v>68</v>
      </c>
      <c r="B9" s="18">
        <f>B8*(1+Assumptions!B12)/(Assumptions!B26-Assumptions!B12)</f>
        <v>411222762788.48804</v>
      </c>
    </row>
    <row r="10" spans="1:2" x14ac:dyDescent="0.25">
      <c r="A10" t="s">
        <v>69</v>
      </c>
      <c r="B10" s="18">
        <f>B9/(1+Assumptions!B26)^(10-0.5*Assumptions!B32)</f>
        <v>214516632600.07993</v>
      </c>
    </row>
    <row r="11" spans="1:2" x14ac:dyDescent="0.25">
      <c r="A11" t="s">
        <v>70</v>
      </c>
      <c r="B11" s="18">
        <f>Forecast!B17+B10</f>
        <v>338125915111.97906</v>
      </c>
    </row>
    <row r="12" spans="1:2" x14ac:dyDescent="0.25">
      <c r="A12" t="s">
        <v>71</v>
      </c>
      <c r="B12" s="18">
        <f>-Assumptions!B30</f>
        <v>-25084000000</v>
      </c>
    </row>
    <row r="13" spans="1:2" x14ac:dyDescent="0.25">
      <c r="A13" t="s">
        <v>72</v>
      </c>
      <c r="B13" s="18">
        <f>B11+B12</f>
        <v>313041915111.97906</v>
      </c>
    </row>
    <row r="14" spans="1:2" x14ac:dyDescent="0.25">
      <c r="A14" s="19" t="s">
        <v>73</v>
      </c>
      <c r="B14" s="24">
        <f>B13/Assumptions!B31</f>
        <v>129.22266877687474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30663751059.086533</v>
      </c>
    </row>
    <row r="18" spans="1:2" x14ac:dyDescent="0.25">
      <c r="A18" t="s">
        <v>68</v>
      </c>
      <c r="B18" s="18">
        <f>B17*Assumptions!B13</f>
        <v>534846385169.06146</v>
      </c>
    </row>
    <row r="19" spans="1:2" x14ac:dyDescent="0.25">
      <c r="A19" t="s">
        <v>69</v>
      </c>
      <c r="B19" s="18">
        <f>B18/(1+Assumptions!B26)^(10-0.5*Assumptions!B32)</f>
        <v>279005580155.11755</v>
      </c>
    </row>
    <row r="20" spans="1:2" x14ac:dyDescent="0.25">
      <c r="A20" t="s">
        <v>70</v>
      </c>
      <c r="B20" s="18">
        <f>Forecast!B17+B19</f>
        <v>402614862667.01666</v>
      </c>
    </row>
    <row r="21" spans="1:2" x14ac:dyDescent="0.25">
      <c r="A21" t="s">
        <v>71</v>
      </c>
      <c r="B21" s="18">
        <f>-Assumptions!B30</f>
        <v>-25084000000</v>
      </c>
    </row>
    <row r="22" spans="1:2" x14ac:dyDescent="0.25">
      <c r="A22" t="s">
        <v>72</v>
      </c>
      <c r="B22" s="18">
        <f>B20+B21</f>
        <v>377530862667.01666</v>
      </c>
    </row>
    <row r="23" spans="1:2" x14ac:dyDescent="0.25">
      <c r="A23" s="19" t="s">
        <v>73</v>
      </c>
      <c r="B23" s="25">
        <f>B22/Assumptions!B31</f>
        <v>155.8434933609976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161.57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129.22266877687474</v>
      </c>
    </row>
    <row r="29" spans="1:2" x14ac:dyDescent="0.25">
      <c r="A29" s="19" t="s">
        <v>81</v>
      </c>
      <c r="B29" s="11">
        <f>B28/B26-1</f>
        <v>-0.2002062958663443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0.0509</v>
      </c>
      <c r="B5" s="31">
        <v>189.41048927046478</v>
      </c>
      <c r="C5" s="31">
        <v>207.6017735521773</v>
      </c>
      <c r="D5" s="31">
        <v>233.0644575730646</v>
      </c>
      <c r="E5" s="31">
        <v>271.0172492799032</v>
      </c>
      <c r="F5" s="31">
        <v>333.24326913113737</v>
      </c>
    </row>
    <row r="6" spans="1:6" x14ac:dyDescent="0.25">
      <c r="A6" s="30">
        <v>0.0609</v>
      </c>
      <c r="B6" s="31">
        <v>146.26204035329096</v>
      </c>
      <c r="C6" s="31">
        <v>155.15885620508436</v>
      </c>
      <c r="D6" s="31">
        <v>166.70265509176704</v>
      </c>
      <c r="E6" s="31">
        <v>182.17838023415896</v>
      </c>
      <c r="F6" s="31">
        <v>203.86320900043157</v>
      </c>
    </row>
    <row r="7" spans="1:6" x14ac:dyDescent="0.25">
      <c r="A7" s="30">
        <v>0.0709</v>
      </c>
      <c r="B7" s="31">
        <v>118.56294171846079</v>
      </c>
      <c r="C7" s="31">
        <v>123.31349555409074</v>
      </c>
      <c r="D7" s="32">
        <v>129.223772012819</v>
      </c>
      <c r="E7" s="31">
        <v>136.71909724003626</v>
      </c>
      <c r="F7" s="31">
        <v>146.46174787995784</v>
      </c>
    </row>
    <row r="8" spans="1:6" x14ac:dyDescent="0.25">
      <c r="A8" s="30">
        <v>0.0809</v>
      </c>
      <c r="B8" s="31">
        <v>99.27931265263112</v>
      </c>
      <c r="C8" s="31">
        <v>101.91962880809368</v>
      </c>
      <c r="D8" s="31">
        <v>105.12915996171732</v>
      </c>
      <c r="E8" s="31">
        <v>109.07565120136883</v>
      </c>
      <c r="F8" s="31">
        <v>113.99993915646903</v>
      </c>
    </row>
    <row r="9" spans="1:6" x14ac:dyDescent="0.25">
      <c r="A9" s="30">
        <v>0.0909</v>
      </c>
      <c r="B9" s="31">
        <v>85.08424817218976</v>
      </c>
      <c r="C9" s="31">
        <v>86.55530255946752</v>
      </c>
      <c r="D9" s="31">
        <v>88.32738726839311</v>
      </c>
      <c r="E9" s="31">
        <v>90.47464769838712</v>
      </c>
      <c r="F9" s="31">
        <v>93.09775711986146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87032000000</v>
      </c>
      <c r="C5" s="18">
        <v>84284000000</v>
      </c>
      <c r="D5" s="18">
        <v>84039000000</v>
      </c>
      <c r="E5" s="18">
        <v>82006000000</v>
      </c>
      <c r="F5" s="6" t="s">
        <v>91</v>
      </c>
    </row>
    <row r="6" spans="1:6" x14ac:dyDescent="0.25">
      <c r="A6" t="s">
        <v>51</v>
      </c>
      <c r="B6" s="18">
        <v>19748000000</v>
      </c>
      <c r="C6" s="18">
        <v>20451000000</v>
      </c>
      <c r="D6" s="18">
        <v>19886000000</v>
      </c>
      <c r="E6" s="18">
        <v>18134000000</v>
      </c>
      <c r="F6" s="6" t="s">
        <v>92</v>
      </c>
    </row>
    <row r="7" spans="1:6" x14ac:dyDescent="0.25">
      <c r="A7" t="s">
        <v>93</v>
      </c>
      <c r="B7" s="18">
        <v>3160000000</v>
      </c>
      <c r="C7" s="18">
        <v>2847000000</v>
      </c>
      <c r="D7" s="18">
        <v>2896000000</v>
      </c>
      <c r="E7" s="18">
        <v>2714000000</v>
      </c>
      <c r="F7" s="6" t="s">
        <v>94</v>
      </c>
    </row>
    <row r="8" spans="1:6" x14ac:dyDescent="0.25">
      <c r="A8" t="s">
        <v>95</v>
      </c>
      <c r="B8" s="18">
        <v>4409000000</v>
      </c>
      <c r="C8" s="18">
        <v>3773000000</v>
      </c>
      <c r="D8" s="18">
        <v>3322000000</v>
      </c>
      <c r="E8" s="18">
        <v>3062000000</v>
      </c>
      <c r="F8" s="6" t="s">
        <v>96</v>
      </c>
    </row>
    <row r="9" spans="1:6" x14ac:dyDescent="0.25">
      <c r="A9" t="s">
        <v>97</v>
      </c>
      <c r="B9" s="18">
        <v>-362000000</v>
      </c>
      <c r="C9" s="18">
        <v>821000000</v>
      </c>
      <c r="D9" s="18">
        <v>-42000000</v>
      </c>
      <c r="E9" s="18">
        <v>873000000</v>
      </c>
      <c r="F9" s="6" t="s">
        <v>98</v>
      </c>
    </row>
    <row r="10" spans="1:6" x14ac:dyDescent="0.25">
      <c r="A10" t="s">
        <v>99</v>
      </c>
      <c r="B10" s="18">
        <v>35026000000</v>
      </c>
      <c r="C10" s="18">
        <v>35463000000</v>
      </c>
      <c r="D10" s="18">
        <v>33369000000</v>
      </c>
      <c r="E10" s="18">
        <v>35424000000</v>
      </c>
      <c r="F10" s="6" t="s">
        <v>100</v>
      </c>
    </row>
    <row r="11" spans="1:6" x14ac:dyDescent="0.25">
      <c r="A11" t="s">
        <v>101</v>
      </c>
      <c r="B11" s="18">
        <v>9942000000</v>
      </c>
      <c r="C11" s="18">
        <v>9556000000</v>
      </c>
      <c r="D11" s="18">
        <v>9482000000</v>
      </c>
      <c r="E11" s="18">
        <v>8246000000</v>
      </c>
      <c r="F11" s="6" t="s">
        <v>102</v>
      </c>
    </row>
    <row r="12" spans="1:6" x14ac:dyDescent="0.25">
      <c r="A12" t="s">
        <v>34</v>
      </c>
      <c r="B12" s="34">
        <v>2422500000</v>
      </c>
      <c r="C12" s="34">
        <v>2454400000</v>
      </c>
      <c r="D12" s="34">
        <v>2471900000</v>
      </c>
      <c r="E12" s="34">
        <v>2483900000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