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<sst xmlns="http://schemas.openxmlformats.org/spreadsheetml/2006/main" count="115" uniqueCount="103">
  <si>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Partners Group Holding AG (PGHN.SW)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</si>
  <si>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</si>
  <si>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</si>
  <si>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</si>
  <si>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</si>
  <si>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</si>
  <si>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</si>
  <si>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</si>
  <si>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</si>
  <si>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</si>
  <si>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</si>
  <si>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</si>
  <si>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</si>
  <si>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</si>
  <si>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</si>
  <si>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</si>
  <si>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</si>
  <si>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</si>
  <si>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</si>
  <si>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</si>
  <si>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</si>
  <si>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</si>
  <si>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</si>
  <si>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</si>
  <si>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</si>
  <si>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</si>
  <si>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</si>
  <si>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</si>
  <si>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</si>
  <si>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</si>
  <si>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</si>
  <si>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</si>
  <si>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</si>
  <si>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</si>
  <si>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</si>
  <si>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</si>
  <si>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</si>
  <si>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</si>
  <si>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</si>
  <si>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</si>
  <si>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</si>
  <si>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</si>
  <si>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</si>
  <si>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</si>
  <si>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</si>
  <si>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</si>
  <si>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</si>
  <si>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</si>
  <si>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</si>
  <si>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</si>
  <si>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</si>
  <si>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</si>
  <si>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</si>
  <si>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</si>
  <si>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</si>
  <si>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</si>
  <si>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</si>
  <si>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</si>
  <si>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</si>
  <si>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</si>
  <si>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</si>
  <si>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</si>
  <si>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</si>
  <si>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</si>
  <si>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</si>
  <si>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</si>
  <si>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</si>
  <si>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</si>
  <si>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</si>
  <si>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</si>
  <si>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</si>
  <si>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</si>
  <si>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</si>
  <si>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</si>
  <si>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</si>
  <si>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</si>
  <si>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</si>
  <si>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</si>
  <si>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</si>
  <si>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</si>
  <si>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</si>
  <si>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</si>
  <si>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</si>
  <si>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</si>
  <si>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</si>
  <si>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</si>
  <si>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</si>
  <si>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</si>
  <si>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</si>
  <si>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</si>
  <si>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</si>
  <si>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</si>
  <si>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</si>
  <si>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</si>
  <si>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</si>
  <si>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</si>
  <si>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</si>
  <si>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</si>
  <si>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</si>
  <si>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</si>
  <si>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4.6% of revenue against depreciation of 2.4%.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</si>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</sst>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0.10707706882077761</v>
      </c>
    </row>
    <row r="7" spans="1:2" x14ac:dyDescent="0.25">
      <c r="A7" t="s">
        <v>5</v>
      </c>
      <c r="B7" s="6">
        <v>0.6352428426644967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0.02417537229198838</v>
      </c>
    </row>
    <row r="10" spans="1:2" x14ac:dyDescent="0.25">
      <c r="A10" t="s">
        <v>8</v>
      </c>
      <c r="B10" s="6">
        <v>0.046452381426376886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11.143733267105427</v>
      </c>
    </row>
    <row r="14" spans="1:3" x14ac:dyDescent="0.25">
      <c r="A14" t="s">
        <v>12</v>
      </c>
      <c r="B14" s="6">
        <v>0.2714874687253169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0.97119</v>
      </c>
      <c r="C19" s="8" t="s">
        <v>19</v>
      </c>
    </row>
    <row r="20" spans="1:2" x14ac:dyDescent="0.25">
      <c r="A20" t="s">
        <v>20</v>
      </c>
      <c r="B20" s="10">
        <f>B17+B19*B18</f>
        <v>0.05841545</v>
      </c>
    </row>
    <row r="21" spans="1:3" x14ac:dyDescent="0.25">
      <c r="A21" t="s">
        <v>21</v>
      </c>
      <c r="B21" s="6">
        <v>0.0193516338739984</v>
      </c>
      <c r="C21" s="8" t="s">
        <v>22</v>
      </c>
    </row>
    <row r="22" spans="1:2" x14ac:dyDescent="0.25">
      <c r="A22" t="s">
        <v>23</v>
      </c>
      <c r="B22" s="11">
        <v>15790796800</v>
      </c>
    </row>
    <row r="23" spans="1:2" x14ac:dyDescent="0.25">
      <c r="A23" t="s">
        <v>24</v>
      </c>
      <c r="B23" s="11">
        <v>2486100000</v>
      </c>
    </row>
    <row r="24" spans="1:2" x14ac:dyDescent="0.25">
      <c r="A24" t="s">
        <v>25</v>
      </c>
      <c r="B24" s="10">
        <f>B22/(B22+B23)</f>
        <v>0.8639758145376188</v>
      </c>
    </row>
    <row r="25" spans="1:2" x14ac:dyDescent="0.25">
      <c r="A25" t="s">
        <v>26</v>
      </c>
      <c r="B25" s="10">
        <f>1-B24</f>
        <v>0.13602418546238115</v>
      </c>
    </row>
    <row r="26" spans="1:2" x14ac:dyDescent="0.25">
      <c r="A26" t="s">
        <v>27</v>
      </c>
      <c r="B26" s="12">
        <f>B24*B20+B25*B21*(1-B8)</f>
        <v>0.05270698269514688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2461200000</v>
      </c>
      <c r="C29" s="8" t="s">
        <v>30</v>
      </c>
    </row>
    <row r="30" spans="1:2" x14ac:dyDescent="0.25">
      <c r="A30" t="s">
        <v>31</v>
      </c>
      <c r="B30" s="11">
        <v>2157300000</v>
      </c>
    </row>
    <row r="31" spans="1:2" x14ac:dyDescent="0.25">
      <c r="A31" t="s">
        <v>32</v>
      </c>
      <c r="B31" s="13">
        <v>26021556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0.10707706882077761</v>
      </c>
      <c r="C5" s="10">
        <f>Assumptions!B6</f>
        <v>0.10707706882077761</v>
      </c>
      <c r="D5" s="10">
        <f>Assumptions!B6</f>
        <v>0.10707706882077761</v>
      </c>
      <c r="E5" s="10">
        <f>Assumptions!B6</f>
        <v>0.10707706882077761</v>
      </c>
      <c r="F5" s="10">
        <f>Assumptions!B6</f>
        <v>0.10707706882077761</v>
      </c>
    </row>
    <row r="6" spans="1:6" x14ac:dyDescent="0.25">
      <c r="A6" t="s">
        <v>43</v>
      </c>
      <c r="B6" s="18">
        <f>Assumptions!B29*(1+B5)</f>
        <v>2724738081.7816978</v>
      </c>
      <c r="C6" s="18">
        <f>B6*(1+C5)</f>
        <v>3016495048.88323</v>
      </c>
      <c r="D6" s="18">
        <f>C6*(1+D5)</f>
        <v>3339492496.8300347</v>
      </c>
      <c r="E6" s="18">
        <f>D6*(1+E5)</f>
        <v>3697075564.739575</v>
      </c>
      <c r="F6" s="18">
        <f>E6*(1+F5)</f>
        <v>4092947579.4208097</v>
      </c>
    </row>
    <row r="7" spans="1:6" x14ac:dyDescent="0.25">
      <c r="A7" t="s">
        <v>5</v>
      </c>
      <c r="B7" s="10">
        <f>Assumptions!B7</f>
        <v>0.6352428426644967</v>
      </c>
      <c r="C7" s="10">
        <f>Assumptions!B7</f>
        <v>0.6352428426644967</v>
      </c>
      <c r="D7" s="10">
        <f>Assumptions!B7</f>
        <v>0.6352428426644967</v>
      </c>
      <c r="E7" s="10">
        <f>Assumptions!B7</f>
        <v>0.6352428426644967</v>
      </c>
      <c r="F7" s="10">
        <f>Assumptions!B7</f>
        <v>0.6352428426644967</v>
      </c>
    </row>
    <row r="8" spans="1:6" x14ac:dyDescent="0.25">
      <c r="A8" t="s">
        <v>44</v>
      </c>
      <c r="B8" s="18">
        <f>B6*B7</f>
        <v>1730870364.5872135</v>
      </c>
      <c r="C8" s="18">
        <f>C6*C7</f>
        <v>1916206889.735963</v>
      </c>
      <c r="D8" s="18">
        <f>D6*D7</f>
        <v>2121388706.743069</v>
      </c>
      <c r="E8" s="18">
        <f>E6*E7</f>
        <v>2348540791.290617</v>
      </c>
      <c r="F8" s="18">
        <f>F6*F7</f>
        <v>2600015655.228046</v>
      </c>
    </row>
    <row r="9" spans="1:6" x14ac:dyDescent="0.25">
      <c r="A9" t="s">
        <v>45</v>
      </c>
      <c r="B9" s="18">
        <f>B8*(1-Assumptions!B8)</f>
        <v>1471239809.8991315</v>
      </c>
      <c r="C9" s="18">
        <f>C8*(1-Assumptions!B8)</f>
        <v>1628775856.2755685</v>
      </c>
      <c r="D9" s="18">
        <f>D8*(1-Assumptions!B8)</f>
        <v>1803180400.7316086</v>
      </c>
      <c r="E9" s="18">
        <f>E8*(1-Assumptions!B8)</f>
        <v>1996259672.5970244</v>
      </c>
      <c r="F9" s="18">
        <f>F8*(1-Assumptions!B8)</f>
        <v>2210013306.943839</v>
      </c>
    </row>
    <row r="10" spans="1:6" x14ac:dyDescent="0.25">
      <c r="A10" t="s">
        <v>46</v>
      </c>
      <c r="B10" s="18">
        <f>B6*Assumptions!B9</f>
        <v>65871557.52523082</v>
      </c>
      <c r="C10" s="18">
        <f>C6*Assumptions!B9</f>
        <v>72924890.82369177</v>
      </c>
      <c r="D10" s="18">
        <f>D6*Assumptions!B9</f>
        <v>80733474.37716791</v>
      </c>
      <c r="E10" s="18">
        <f>E6*Assumptions!B9</f>
        <v>89378178.1691924</v>
      </c>
      <c r="F10" s="18">
        <f>F6*Assumptions!B9</f>
        <v>98948531.50409074</v>
      </c>
    </row>
    <row r="11" spans="1:6" x14ac:dyDescent="0.25">
      <c r="A11" t="s">
        <v>47</v>
      </c>
      <c r="B11" s="18">
        <f>-B6*Assumptions!B10</f>
        <v>-126570572.66189793</v>
      </c>
      <c r="C11" s="18">
        <f>-C6*Assumptions!B10</f>
        <v>-140123378.5815012</v>
      </c>
      <c r="D11" s="18">
        <f>-D6*Assumptions!B10</f>
        <v>-155127379.23327246</v>
      </c>
      <c r="E11" s="18">
        <f>-E6*Assumptions!B10</f>
        <v>-171737964.29542047</v>
      </c>
      <c r="F11" s="18">
        <f>-F6*Assumptions!B10</f>
        <v>-190127162.11742145</v>
      </c>
    </row>
    <row r="12" spans="1:6" x14ac:dyDescent="0.25">
      <c r="A12" t="s">
        <v>48</v>
      </c>
      <c r="B12" s="18">
        <f>-(B6-Assumptions!B29)*Assumptions!B11</f>
        <v>-263538081.78169775</v>
      </c>
      <c r="C12" s="18">
        <f>-(C6-B6)*Assumptions!B11</f>
        <v>-291756967.10153246</v>
      </c>
      <c r="D12" s="18">
        <f>-(D6-C6)*Assumptions!B11</f>
        <v>-322997447.9468045</v>
      </c>
      <c r="E12" s="18">
        <f>-(E6-D6)*Assumptions!B11</f>
        <v>-357583067.9095402</v>
      </c>
      <c r="F12" s="18">
        <f>-(F6-E6)*Assumptions!B11</f>
        <v>-395872014.68123484</v>
      </c>
    </row>
    <row r="13" spans="1:6" x14ac:dyDescent="0.25">
      <c r="A13" s="19" t="s">
        <v>49</v>
      </c>
      <c r="B13" s="20">
        <f>B9+B10+B11+B12</f>
        <v>1147002712.9807668</v>
      </c>
      <c r="C13" s="20">
        <f>C9+C10+C11+C12</f>
        <v>1269820401.4162266</v>
      </c>
      <c r="D13" s="20">
        <f>D9+D10+D11+D12</f>
        <v>1405789047.9286995</v>
      </c>
      <c r="E13" s="20">
        <f>E9+E10+E11+E12</f>
        <v>1556316818.5612562</v>
      </c>
      <c r="F13" s="20">
        <f>F9+F10+F11+F12</f>
        <v>1722962661.6492736</v>
      </c>
    </row>
    <row r="14" spans="1:6" x14ac:dyDescent="0.25">
      <c r="A14" t="s">
        <v>50</v>
      </c>
      <c r="B14" s="21">
        <f>1/(1+Assumptions!$B$26)^(1-0.5*Assumptions!$B$32)</f>
        <v>0.9746445264772584</v>
      </c>
      <c r="C14" s="21">
        <f>1/(1+Assumptions!$B$26)^(2-0.5*Assumptions!$B$32)</f>
        <v>0.9258459785095825</v>
      </c>
      <c r="D14" s="21">
        <f>1/(1+Assumptions!$B$26)^(3-0.5*Assumptions!$B$32)</f>
        <v>0.8794906785354704</v>
      </c>
      <c r="E14" s="21">
        <f>1/(1+Assumptions!$B$26)^(4-0.5*Assumptions!$B$32)</f>
        <v>0.8354562978995284</v>
      </c>
      <c r="F14" s="21">
        <f>1/(1+Assumptions!$B$26)^(5-0.5*Assumptions!$B$32)</f>
        <v>0.7936266327032314</v>
      </c>
    </row>
    <row r="15" spans="1:6" x14ac:dyDescent="0.25">
      <c r="A15" s="19" t="s">
        <v>51</v>
      </c>
      <c r="B15" s="20">
        <f>B13*B14</f>
        <v>1117919916.0612702</v>
      </c>
      <c r="C15" s="20">
        <f>C13*C14</f>
        <v>1175658112.0806372</v>
      </c>
      <c r="D15" s="20">
        <f>D13*D14</f>
        <v>1236378363.640545</v>
      </c>
      <c r="E15" s="20">
        <f>E13*E14</f>
        <v>1300234687.593959</v>
      </c>
      <c r="F15" s="20">
        <f>F13*F14</f>
        <v>1367389055.43811</v>
      </c>
    </row>
    <row r="17" spans="1:2" x14ac:dyDescent="0.25">
      <c r="A17" s="22" t="s">
        <v>52</v>
      </c>
      <c r="B17" s="23">
        <f>SUM(B15:F15)</f>
        <v>6197580134.814522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1722962661.6492736</v>
      </c>
    </row>
    <row r="5" spans="1:2" x14ac:dyDescent="0.25">
      <c r="A5" t="s">
        <v>56</v>
      </c>
      <c r="B5" s="18">
        <f>IF(Assumptions!$B$33=0,B4,B4-Forecast!F11-Forecast!F10-Forecast!F12)</f>
        <v>2228454398.258128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0.09208528156890464</v>
      </c>
    </row>
    <row r="7" spans="1:2" x14ac:dyDescent="0.25">
      <c r="A7" t="s">
        <v>58</v>
      </c>
      <c r="B7" s="18">
        <f>-MAX(Forecast!F9,0)*B6</f>
        <v>-205207850.7270637</v>
      </c>
    </row>
    <row r="8" spans="1:2" x14ac:dyDescent="0.25">
      <c r="A8" t="s">
        <v>59</v>
      </c>
      <c r="B8" s="18">
        <f>IF(OR(Assumptions!$B$33=0,Assumptions!B12&lt;=0),B5,MAX(B5+B7,0))</f>
        <v>2023246547.5310645</v>
      </c>
    </row>
    <row r="9" spans="1:2" x14ac:dyDescent="0.25">
      <c r="A9" t="s">
        <v>60</v>
      </c>
      <c r="B9" s="18">
        <f>B8*(1+Assumptions!B12)/(Assumptions!B26-Assumptions!B12)</f>
        <v>74848558359.35504</v>
      </c>
    </row>
    <row r="10" spans="1:2" x14ac:dyDescent="0.25">
      <c r="A10" t="s">
        <v>61</v>
      </c>
      <c r="B10" s="18">
        <f>B9/(1+Assumptions!B26)^(5-0.5*Assumptions!B32)</f>
        <v>59401809333.42625</v>
      </c>
    </row>
    <row r="11" spans="1:2" x14ac:dyDescent="0.25">
      <c r="A11" t="s">
        <v>62</v>
      </c>
      <c r="B11" s="18">
        <f>Forecast!B17+B10</f>
        <v>65599389468.24077</v>
      </c>
    </row>
    <row r="12" spans="1:2" x14ac:dyDescent="0.25">
      <c r="A12" t="s">
        <v>63</v>
      </c>
      <c r="B12" s="18">
        <f>-Assumptions!B30</f>
        <v>-2157300000</v>
      </c>
    </row>
    <row r="13" spans="1:2" x14ac:dyDescent="0.25">
      <c r="A13" t="s">
        <v>64</v>
      </c>
      <c r="B13" s="18">
        <f>B11+B12</f>
        <v>63442089468.24077</v>
      </c>
    </row>
    <row r="14" spans="1:2" x14ac:dyDescent="0.25">
      <c r="A14" s="19" t="s">
        <v>65</v>
      </c>
      <c r="B14" s="24">
        <f>B13/Assumptions!B31</f>
        <v>2438.0590256878095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2698964186.7321367</v>
      </c>
    </row>
    <row r="18" spans="1:2" x14ac:dyDescent="0.25">
      <c r="A18" t="s">
        <v>60</v>
      </c>
      <c r="B18" s="18">
        <f>B17*Assumptions!B13</f>
        <v>30076536994.413055</v>
      </c>
    </row>
    <row r="19" spans="1:2" x14ac:dyDescent="0.25">
      <c r="A19" t="s">
        <v>61</v>
      </c>
      <c r="B19" s="18">
        <f>B18/(1+Assumptions!B26)^(5-0.5*Assumptions!B32)</f>
        <v>23869540778.250202</v>
      </c>
    </row>
    <row r="20" spans="1:2" x14ac:dyDescent="0.25">
      <c r="A20" t="s">
        <v>62</v>
      </c>
      <c r="B20" s="18">
        <f>Forecast!B17+B19</f>
        <v>30067120913.064724</v>
      </c>
    </row>
    <row r="21" spans="1:2" x14ac:dyDescent="0.25">
      <c r="A21" t="s">
        <v>63</v>
      </c>
      <c r="B21" s="18">
        <f>-Assumptions!B30</f>
        <v>-2157300000</v>
      </c>
    </row>
    <row r="22" spans="1:2" x14ac:dyDescent="0.25">
      <c r="A22" t="s">
        <v>64</v>
      </c>
      <c r="B22" s="18">
        <f>B20+B21</f>
        <v>27909820913.064724</v>
      </c>
    </row>
    <row r="23" spans="1:2" x14ac:dyDescent="0.25">
      <c r="A23" s="19" t="s">
        <v>65</v>
      </c>
      <c r="B23" s="25">
        <f>B22/Assumptions!B31</f>
        <v>1072.5654112715138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2438.0590256878095</v>
      </c>
    </row>
    <row r="29" spans="1:2" x14ac:dyDescent="0.25">
      <c r="A29" s="19" t="s">
        <v>73</v>
      </c>
      <c r="B29" s="12">
        <f>B28/B26-1</f>
        <v>2.9772577906815814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0.032707</v>
      </c>
      <c r="B5" s="31">
        <v>4180.001839684074</v>
      </c>
      <c r="C5" s="31">
        <v>5676.849695264675</v>
      </c>
      <c r="D5" s="31">
        <v>9114.119624752164</v>
      </c>
      <c r="E5" s="31">
        <v>25244.058066492806</v>
      </c>
      <c r="F5" s="31" t="s">
        <v>76</v>
      </c>
    </row>
    <row r="6" spans="1:6" x14ac:dyDescent="0.25">
      <c r="A6" s="30">
        <v>0.042707</v>
      </c>
      <c r="B6" s="31">
        <v>2616.73596701932</v>
      </c>
      <c r="C6" s="31">
        <v>3113.4841114679875</v>
      </c>
      <c r="D6" s="31">
        <v>3890.0320475497856</v>
      </c>
      <c r="E6" s="31">
        <v>5276.669920420689</v>
      </c>
      <c r="F6" s="31">
        <v>8460.805158630918</v>
      </c>
    </row>
    <row r="7" spans="1:6" x14ac:dyDescent="0.25">
      <c r="A7" s="30">
        <v>0.052707</v>
      </c>
      <c r="B7" s="31">
        <v>1883.6780233280283</v>
      </c>
      <c r="C7" s="31">
        <v>2118.6844005552352</v>
      </c>
      <c r="D7" s="32">
        <v>2438.0574208865182</v>
      </c>
      <c r="E7" s="31">
        <v>2897.5287814444005</v>
      </c>
      <c r="F7" s="31">
        <v>3615.7789534210096</v>
      </c>
    </row>
    <row r="8" spans="1:6" x14ac:dyDescent="0.25">
      <c r="A8" s="30">
        <v>0.062707</v>
      </c>
      <c r="B8" s="31">
        <v>1458.7143877748756</v>
      </c>
      <c r="C8" s="31">
        <v>1590.5467004047116</v>
      </c>
      <c r="D8" s="31">
        <v>1757.0231722363671</v>
      </c>
      <c r="E8" s="31">
        <v>1974.0322182277207</v>
      </c>
      <c r="F8" s="31">
        <v>2268.9311348163315</v>
      </c>
    </row>
    <row r="9" spans="1:6" x14ac:dyDescent="0.25">
      <c r="A9" s="30">
        <v>0.072707</v>
      </c>
      <c r="B9" s="31">
        <v>1181.6406007965547</v>
      </c>
      <c r="C9" s="31">
        <v>1263.4182720769816</v>
      </c>
      <c r="D9" s="31">
        <v>1362.096523468305</v>
      </c>
      <c r="E9" s="31">
        <v>1483.6113537918754</v>
      </c>
      <c r="F9" s="31">
        <v>1637.0472482622083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2461200000</v>
      </c>
      <c r="C5" s="18">
        <v>2018300000</v>
      </c>
      <c r="D5" s="18">
        <v>1856600000</v>
      </c>
      <c r="E5" s="18">
        <v>1813900000</v>
      </c>
      <c r="F5" s="8" t="s">
        <v>85</v>
      </c>
    </row>
    <row r="6" spans="1:6" x14ac:dyDescent="0.25">
      <c r="A6" t="s">
        <v>44</v>
      </c>
      <c r="B6" s="18">
        <v>1541300000</v>
      </c>
      <c r="C6" s="18">
        <v>1308700000</v>
      </c>
      <c r="D6" s="18">
        <v>1192700000</v>
      </c>
      <c r="E6" s="18">
        <v>1131700000</v>
      </c>
      <c r="F6" s="8" t="s">
        <v>86</v>
      </c>
    </row>
    <row r="7" spans="1:6" x14ac:dyDescent="0.25">
      <c r="A7" t="s">
        <v>87</v>
      </c>
      <c r="B7" s="18">
        <v>69300000</v>
      </c>
      <c r="C7" s="18">
        <v>48600000</v>
      </c>
      <c r="D7" s="18">
        <v>41100000</v>
      </c>
      <c r="E7" s="18">
        <v>40500000</v>
      </c>
      <c r="F7" s="8" t="s">
        <v>88</v>
      </c>
    </row>
    <row r="8" spans="1:6" x14ac:dyDescent="0.25">
      <c r="A8" t="s">
        <v>89</v>
      </c>
      <c r="B8" s="18">
        <v>20800000</v>
      </c>
      <c r="C8" s="18">
        <v>141100000</v>
      </c>
      <c r="D8" s="18">
        <v>108700000</v>
      </c>
      <c r="E8" s="18">
        <v>88700000</v>
      </c>
      <c r="F8" s="8" t="s">
        <v>90</v>
      </c>
    </row>
    <row r="9" spans="1:6" x14ac:dyDescent="0.25">
      <c r="A9" t="s">
        <v>91</v>
      </c>
      <c r="B9" s="18">
        <v>91500000</v>
      </c>
      <c r="C9" s="18">
        <v>233000000</v>
      </c>
      <c r="D9" s="18">
        <v>517700000</v>
      </c>
      <c r="E9" s="18">
        <v>-36300000</v>
      </c>
      <c r="F9" s="8" t="s">
        <v>92</v>
      </c>
    </row>
    <row r="10" spans="1:6" x14ac:dyDescent="0.25">
      <c r="A10" t="s">
        <v>93</v>
      </c>
      <c r="B10" s="18">
        <v>2486100000</v>
      </c>
      <c r="C10" s="18">
        <v>2144000000</v>
      </c>
      <c r="D10" s="18">
        <v>1475000000</v>
      </c>
      <c r="E10" s="18">
        <v>1146900000</v>
      </c>
      <c r="F10" s="8" t="s">
        <v>94</v>
      </c>
    </row>
    <row r="11" spans="1:6" x14ac:dyDescent="0.25">
      <c r="A11" t="s">
        <v>95</v>
      </c>
      <c r="B11" s="18">
        <v>328800000</v>
      </c>
      <c r="C11" s="18">
        <v>288900000</v>
      </c>
      <c r="D11" s="18">
        <v>281000000</v>
      </c>
      <c r="E11" s="18">
        <v>779500000</v>
      </c>
      <c r="F11" s="8" t="s">
        <v>96</v>
      </c>
    </row>
    <row r="12" spans="1:6" x14ac:dyDescent="0.25">
      <c r="A12" t="s">
        <v>32</v>
      </c>
      <c r="B12" s="34">
        <v>26021556</v>
      </c>
      <c r="C12" s="34">
        <v>26178036</v>
      </c>
      <c r="D12" s="34">
        <v>26027274</v>
      </c>
      <c r="E12" s="34">
        <v>25709270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