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<sst xmlns="http://schemas.openxmlformats.org/spreadsheetml/2006/main" count="114" uniqueCount="102">
  <si>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The Progressive Corporation (PGR)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</si>
  <si>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</si>
  <si>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</si>
  <si>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</si>
  <si>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</si>
  <si>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</si>
  <si>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</si>
  <si>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</si>
  <si>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</si>
  <si>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</si>
  <si>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</si>
  <si>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</si>
  <si>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</si>
  <si>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</si>
  <si>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</si>
  <si>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</si>
  <si>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</si>
  <si>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</si>
  <si>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</si>
  <si>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</si>
  <si>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</si>
  <si>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</si>
  <si>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</si>
  <si>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</si>
  <si>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</si>
  <si>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</si>
  <si>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</si>
  <si>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</si>
  <si>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</si>
  <si>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</si>
  <si>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</si>
  <si>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</si>
  <si>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</si>
  <si>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</si>
  <si>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</si>
  <si>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</si>
  <si>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</si>
  <si>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</si>
  <si>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</si>
  <si>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</si>
  <si>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</si>
  <si>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</si>
  <si>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</si>
  <si>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</si>
  <si>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</si>
  <si>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</si>
  <si>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</si>
  <si>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</si>
  <si>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</si>
  <si>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</si>
  <si>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</si>
  <si>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</si>
  <si>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</si>
  <si>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</si>
  <si>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</si>
  <si>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</si>
  <si>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</si>
  <si>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</si>
  <si>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</si>
  <si>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</si>
  <si>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</si>
  <si>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</si>
  <si>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</si>
  <si>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</si>
  <si>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</si>
  <si>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</si>
  <si>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</si>
  <si>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</si>
  <si>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</si>
  <si>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</si>
  <si>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</si>
  <si>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</si>
  <si>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</si>
  <si>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</si>
  <si>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</si>
  <si>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</si>
  <si>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</si>
  <si>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</si>
  <si>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</si>
  <si>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</si>
  <si>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</si>
  <si>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</si>
  <si>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</si>
  <si>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</si>
  <si>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</si>
  <si>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</si>
  <si>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</si>
  <si>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</si>
  <si>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</si>
  <si>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</si>
  <si>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</si>
  <si>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</si>
  <si>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</si>
  <si>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</si>
  <si>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</si>
  <si>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</si>
  <si>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</si>
  <si>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</si>
  <si>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</si>
  <si>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0.44%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</si>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</sst>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0.2090378284670047</v>
      </c>
    </row>
    <row r="7" spans="1:2" x14ac:dyDescent="0.25">
      <c r="A7" t="s">
        <v>5</v>
      </c>
      <c r="B7" s="6">
        <v>0.10051719870509951</v>
      </c>
    </row>
    <row r="8" spans="1:2" x14ac:dyDescent="0.25">
      <c r="A8" t="s">
        <v>6</v>
      </c>
      <c r="B8" s="6">
        <v>0.20669403762326188</v>
      </c>
    </row>
    <row r="9" spans="1:2" x14ac:dyDescent="0.25">
      <c r="A9" t="s">
        <v>7</v>
      </c>
      <c r="B9" s="6">
        <v>0.004525644887728416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-0.5289692701664532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7.644072211337369</v>
      </c>
    </row>
    <row r="14" spans="1:3" x14ac:dyDescent="0.25">
      <c r="A14" t="s">
        <v>12</v>
      </c>
      <c r="B14" s="6">
        <v>0.20374332502463394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0.50353</v>
      </c>
      <c r="C19" s="8" t="s">
        <v>19</v>
      </c>
    </row>
    <row r="20" spans="1:2" x14ac:dyDescent="0.25">
      <c r="A20" t="s">
        <v>20</v>
      </c>
      <c r="B20" s="10">
        <f>B17+B19*B18</f>
        <v>0.07767415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124053233664</v>
      </c>
    </row>
    <row r="23" spans="1:2" x14ac:dyDescent="0.25">
      <c r="A23" t="s">
        <v>24</v>
      </c>
      <c r="B23" s="11">
        <v>6897000000</v>
      </c>
    </row>
    <row r="24" spans="1:2" x14ac:dyDescent="0.25">
      <c r="A24" t="s">
        <v>25</v>
      </c>
      <c r="B24" s="10">
        <f>B22/(B22+B23)</f>
        <v>0.94733113636363</v>
      </c>
    </row>
    <row r="25" spans="1:2" x14ac:dyDescent="0.25">
      <c r="A25" t="s">
        <v>26</v>
      </c>
      <c r="B25" s="10">
        <f>1-B24</f>
        <v>0.05266886363637002</v>
      </c>
    </row>
    <row r="26" spans="1:2" x14ac:dyDescent="0.25">
      <c r="A26" t="s">
        <v>27</v>
      </c>
      <c r="B26" s="12">
        <f>B24*B20+B25*B21*(1-B8)</f>
        <v>0.07567143131282494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87637000000</v>
      </c>
      <c r="C29" s="8" t="s">
        <v>30</v>
      </c>
    </row>
    <row r="30" spans="1:2" x14ac:dyDescent="0.25">
      <c r="A30" t="s">
        <v>31</v>
      </c>
      <c r="B30" s="11">
        <v>-12939000000</v>
      </c>
    </row>
    <row r="31" spans="1:2" x14ac:dyDescent="0.25">
      <c r="A31" t="s">
        <v>32</v>
      </c>
      <c r="B31" s="13">
        <v>588100000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0.2090378284670047</v>
      </c>
      <c r="C5" s="10">
        <f>Assumptions!B6</f>
        <v>0.2090378284670047</v>
      </c>
      <c r="D5" s="10">
        <f>Assumptions!B6</f>
        <v>0.2090378284670047</v>
      </c>
      <c r="E5" s="10">
        <f>Assumptions!B6</f>
        <v>0.2090378284670047</v>
      </c>
      <c r="F5" s="10">
        <f>Assumptions!B6</f>
        <v>0.2090378284670047</v>
      </c>
    </row>
    <row r="6" spans="1:6" x14ac:dyDescent="0.25">
      <c r="A6" t="s">
        <v>43</v>
      </c>
      <c r="B6" s="18">
        <f>Assumptions!B29*(1+B5)</f>
        <v>105956448173.36288</v>
      </c>
      <c r="C6" s="18">
        <f>B6*(1+C5)</f>
        <v>128105354011.59938</v>
      </c>
      <c r="D6" s="18">
        <f>C6*(1+D5)</f>
        <v>154884219029.181</v>
      </c>
      <c r="E6" s="18">
        <f>D6*(1+E5)</f>
        <v>187260879838.8489</v>
      </c>
      <c r="F6" s="18">
        <f>E6*(1+F5)</f>
        <v>226405487517.1826</v>
      </c>
    </row>
    <row r="7" spans="1:6" x14ac:dyDescent="0.25">
      <c r="A7" t="s">
        <v>5</v>
      </c>
      <c r="B7" s="10">
        <f>Assumptions!B7</f>
        <v>0.10051719870509951</v>
      </c>
      <c r="C7" s="10">
        <f>Assumptions!B7</f>
        <v>0.10051719870509951</v>
      </c>
      <c r="D7" s="10">
        <f>Assumptions!B7</f>
        <v>0.10051719870509951</v>
      </c>
      <c r="E7" s="10">
        <f>Assumptions!B7</f>
        <v>0.10051719870509951</v>
      </c>
      <c r="F7" s="10">
        <f>Assumptions!B7</f>
        <v>0.10051719870509951</v>
      </c>
    </row>
    <row r="8" spans="1:6" x14ac:dyDescent="0.25">
      <c r="A8" t="s">
        <v>44</v>
      </c>
      <c r="B8" s="18">
        <f>B6*B7</f>
        <v>10650445355.128494</v>
      </c>
      <c r="C8" s="18">
        <f>C6*C7</f>
        <v>12876791324.371052</v>
      </c>
      <c r="D8" s="18">
        <f>D6*D7</f>
        <v>15568527820.440342</v>
      </c>
      <c r="E8" s="18">
        <f>E6*E7</f>
        <v>18822939068.45334</v>
      </c>
      <c r="F8" s="18">
        <f>F6*F7</f>
        <v>22757645376.689568</v>
      </c>
    </row>
    <row r="9" spans="1:6" x14ac:dyDescent="0.25">
      <c r="A9" t="s">
        <v>45</v>
      </c>
      <c r="B9" s="18">
        <f>B8*(1-Assumptions!B8)</f>
        <v>8449061802.191071</v>
      </c>
      <c r="C9" s="18">
        <f>C8*(1-Assumptions!B8)</f>
        <v>10215235333.90461</v>
      </c>
      <c r="D9" s="18">
        <f>D8*(1-Assumptions!B8)</f>
        <v>12350605945.383446</v>
      </c>
      <c r="E9" s="18">
        <f>E8*(1-Assumptions!B8)</f>
        <v>14932349792.458078</v>
      </c>
      <c r="F9" s="18">
        <f>F8*(1-Assumptions!B8)</f>
        <v>18053775766.983242</v>
      </c>
    </row>
    <row r="10" spans="1:6" x14ac:dyDescent="0.25">
      <c r="A10" t="s">
        <v>46</v>
      </c>
      <c r="B10" s="18">
        <f>B6*Assumptions!B9</f>
        <v>479521257.99764055</v>
      </c>
      <c r="C10" s="18">
        <f>C6*Assumptions!B9</f>
        <v>579759340.4732336</v>
      </c>
      <c r="D10" s="18">
        <f>D6*Assumptions!B9</f>
        <v>700950974.0392212</v>
      </c>
      <c r="E10" s="18">
        <f>E6*Assumptions!B9</f>
        <v>847476243.5142117</v>
      </c>
      <c r="F10" s="18">
        <f>F6*Assumptions!B9</f>
        <v>1024630837.135797</v>
      </c>
    </row>
    <row r="11" spans="1:6" x14ac:dyDescent="0.25">
      <c r="A11" t="s">
        <v>47</v>
      </c>
      <c r="B11" s="18">
        <f>-B6*Assumptions!B10</f>
        <v>-1059564481.7336289</v>
      </c>
      <c r="C11" s="18">
        <f>-C6*Assumptions!B10</f>
        <v>-1281053540.1159937</v>
      </c>
      <c r="D11" s="18">
        <f>-D6*Assumptions!B10</f>
        <v>-1548842190.29181</v>
      </c>
      <c r="E11" s="18">
        <f>-E6*Assumptions!B10</f>
        <v>-1872608798.388489</v>
      </c>
      <c r="F11" s="18">
        <f>-F6*Assumptions!B10</f>
        <v>-2264054875.171826</v>
      </c>
    </row>
    <row r="12" spans="1:6" x14ac:dyDescent="0.25">
      <c r="A12" t="s">
        <v>48</v>
      </c>
      <c r="B12" s="18">
        <f>-(B6-Assumptions!B29)*Assumptions!B11</f>
        <v>9690425130.11593</v>
      </c>
      <c r="C12" s="18">
        <f>-(C6-B6)*Assumptions!B11</f>
        <v>11716090556.237453</v>
      </c>
      <c r="D12" s="18">
        <f>-(D6-C6)*Assumptions!B11</f>
        <v>14165196684.236115</v>
      </c>
      <c r="E12" s="18">
        <f>-(E6-D6)*Assumptions!B11</f>
        <v>17126258638.916842</v>
      </c>
      <c r="F12" s="18">
        <f>-(F6-E6)*Assumptions!B11</f>
        <v>20706294554.560307</v>
      </c>
    </row>
    <row r="13" spans="1:6" x14ac:dyDescent="0.25">
      <c r="A13" s="19" t="s">
        <v>49</v>
      </c>
      <c r="B13" s="20">
        <f>B9+B10+B11+B12</f>
        <v>17559443708.571014</v>
      </c>
      <c r="C13" s="20">
        <f>C9+C10+C11+C12</f>
        <v>21230031690.499306</v>
      </c>
      <c r="D13" s="20">
        <f>D9+D10+D11+D12</f>
        <v>25667911413.36697</v>
      </c>
      <c r="E13" s="20">
        <f>E9+E10+E11+E12</f>
        <v>31033475876.50064</v>
      </c>
      <c r="F13" s="20">
        <f>F9+F10+F11+F12</f>
        <v>37520646283.50752</v>
      </c>
    </row>
    <row r="14" spans="1:6" x14ac:dyDescent="0.25">
      <c r="A14" t="s">
        <v>50</v>
      </c>
      <c r="B14" s="21">
        <f>1/(1+Assumptions!$B$26)^(1-0.5*Assumptions!$B$32)</f>
        <v>0.964184582636278</v>
      </c>
      <c r="C14" s="21">
        <f>1/(1+Assumptions!$B$26)^(2-0.5*Assumptions!$B$32)</f>
        <v>0.8963560382555849</v>
      </c>
      <c r="D14" s="21">
        <f>1/(1+Assumptions!$B$26)^(3-0.5*Assumptions!$B$32)</f>
        <v>0.8332991024606919</v>
      </c>
      <c r="E14" s="21">
        <f>1/(1+Assumptions!$B$26)^(4-0.5*Assumptions!$B$32)</f>
        <v>0.7746781016984668</v>
      </c>
      <c r="F14" s="21">
        <f>1/(1+Assumptions!$B$26)^(5-0.5*Assumptions!$B$32)</f>
        <v>0.7201809764093069</v>
      </c>
    </row>
    <row r="15" spans="1:6" x14ac:dyDescent="0.25">
      <c r="A15" s="19" t="s">
        <v>51</v>
      </c>
      <c r="B15" s="20">
        <f>B13*B14</f>
        <v>16930544903.473763</v>
      </c>
      <c r="C15" s="20">
        <f>C13*C14</f>
        <v>19029667098.136475</v>
      </c>
      <c r="D15" s="20">
        <f>D13*D14</f>
        <v>21389047542.799248</v>
      </c>
      <c r="E15" s="20">
        <f>E13*E14</f>
        <v>24040954181.112682</v>
      </c>
      <c r="F15" s="20">
        <f>F13*F14</f>
        <v>27021655675.96468</v>
      </c>
    </row>
    <row r="17" spans="1:2" x14ac:dyDescent="0.25">
      <c r="A17" s="22" t="s">
        <v>52</v>
      </c>
      <c r="B17" s="23">
        <f>SUM(B15:F15)</f>
        <v>108411869401.48685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37520646283.50752</v>
      </c>
    </row>
    <row r="5" spans="1:2" x14ac:dyDescent="0.25">
      <c r="A5" t="s">
        <v>56</v>
      </c>
      <c r="B5" s="18">
        <f>IF(Assumptions!$B$33=0,B4,B4-Forecast!F11-Forecast!F10-Forecast!F12)</f>
        <v>18053775766.983242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0.12270340634215787</v>
      </c>
    </row>
    <row r="7" spans="1:2" x14ac:dyDescent="0.25">
      <c r="A7" t="s">
        <v>58</v>
      </c>
      <c r="B7" s="18">
        <f>-MAX(Forecast!F9,0)*B6</f>
        <v>-2215259783.9463477</v>
      </c>
    </row>
    <row r="8" spans="1:2" x14ac:dyDescent="0.25">
      <c r="A8" t="s">
        <v>59</v>
      </c>
      <c r="B8" s="18">
        <f>IF(OR(Assumptions!$B$33=0,Assumptions!B12&lt;=0),B5,MAX(B5+B7,0))</f>
        <v>15838515983.036894</v>
      </c>
    </row>
    <row r="9" spans="1:2" x14ac:dyDescent="0.25">
      <c r="A9" t="s">
        <v>60</v>
      </c>
      <c r="B9" s="18">
        <f>B8*(1+Assumptions!B12)/(Assumptions!B26-Assumptions!B12)</f>
        <v>320387217451.73724</v>
      </c>
    </row>
    <row r="10" spans="1:2" x14ac:dyDescent="0.25">
      <c r="A10" t="s">
        <v>61</v>
      </c>
      <c r="B10" s="18">
        <f>B9/(1+Assumptions!B26)^(5-0.5*Assumptions!B32)</f>
        <v>230736779093.45306</v>
      </c>
    </row>
    <row r="11" spans="1:2" x14ac:dyDescent="0.25">
      <c r="A11" t="s">
        <v>62</v>
      </c>
      <c r="B11" s="18">
        <f>Forecast!B17+B10</f>
        <v>339148648494.93994</v>
      </c>
    </row>
    <row r="12" spans="1:2" x14ac:dyDescent="0.25">
      <c r="A12" t="s">
        <v>63</v>
      </c>
      <c r="B12" s="18">
        <f>-Assumptions!B30</f>
        <v>12939000000</v>
      </c>
    </row>
    <row r="13" spans="1:2" x14ac:dyDescent="0.25">
      <c r="A13" t="s">
        <v>64</v>
      </c>
      <c r="B13" s="18">
        <f>B11+B12</f>
        <v>352087648494.93994</v>
      </c>
    </row>
    <row r="14" spans="1:2" x14ac:dyDescent="0.25">
      <c r="A14" s="19" t="s">
        <v>65</v>
      </c>
      <c r="B14" s="24">
        <f>B13/Assumptions!B31</f>
        <v>598.6867003824859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23782276213.825363</v>
      </c>
    </row>
    <row r="18" spans="1:2" x14ac:dyDescent="0.25">
      <c r="A18" t="s">
        <v>60</v>
      </c>
      <c r="B18" s="18">
        <f>B17*Assumptions!B13</f>
        <v>181793436728.45218</v>
      </c>
    </row>
    <row r="19" spans="1:2" x14ac:dyDescent="0.25">
      <c r="A19" t="s">
        <v>61</v>
      </c>
      <c r="B19" s="18">
        <f>B18/(1+Assumptions!B26)^(5-0.5*Assumptions!B32)</f>
        <v>130924174767.90024</v>
      </c>
    </row>
    <row r="20" spans="1:2" x14ac:dyDescent="0.25">
      <c r="A20" t="s">
        <v>62</v>
      </c>
      <c r="B20" s="18">
        <f>Forecast!B17+B19</f>
        <v>239336044169.3871</v>
      </c>
    </row>
    <row r="21" spans="1:2" x14ac:dyDescent="0.25">
      <c r="A21" t="s">
        <v>63</v>
      </c>
      <c r="B21" s="18">
        <f>-Assumptions!B30</f>
        <v>12939000000</v>
      </c>
    </row>
    <row r="22" spans="1:2" x14ac:dyDescent="0.25">
      <c r="A22" t="s">
        <v>64</v>
      </c>
      <c r="B22" s="18">
        <f>B20+B21</f>
        <v>252275044169.3871</v>
      </c>
    </row>
    <row r="23" spans="1:2" x14ac:dyDescent="0.25">
      <c r="A23" s="19" t="s">
        <v>65</v>
      </c>
      <c r="B23" s="25">
        <f>B22/Assumptions!B31</f>
        <v>428.9662373225422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213.48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598.6867003824859</v>
      </c>
    </row>
    <row r="29" spans="1:2" x14ac:dyDescent="0.25">
      <c r="A29" s="19" t="s">
        <v>73</v>
      </c>
      <c r="B29" s="12">
        <f>B28/B26-1</f>
        <v>1.804415872130813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0.055671</v>
      </c>
      <c r="B5" s="31">
        <v>772.2812237255902</v>
      </c>
      <c r="C5" s="31">
        <v>836.4818543962434</v>
      </c>
      <c r="D5" s="31">
        <v>921.4220305460835</v>
      </c>
      <c r="E5" s="31">
        <v>1039.2202197917923</v>
      </c>
      <c r="F5" s="31">
        <v>1213.7199805697305</v>
      </c>
    </row>
    <row r="6" spans="1:6" x14ac:dyDescent="0.25">
      <c r="A6" s="30">
        <v>0.065671</v>
      </c>
      <c r="B6" s="31">
        <v>638.9911072828351</v>
      </c>
      <c r="C6" s="31">
        <v>675.5342992061258</v>
      </c>
      <c r="D6" s="31">
        <v>720.9234365290769</v>
      </c>
      <c r="E6" s="31">
        <v>778.8783247237786</v>
      </c>
      <c r="F6" s="31">
        <v>855.5443866025369</v>
      </c>
    </row>
    <row r="7" spans="1:6" x14ac:dyDescent="0.25">
      <c r="A7" s="30">
        <v>0.075671</v>
      </c>
      <c r="B7" s="31">
        <v>548.9796684165611</v>
      </c>
      <c r="C7" s="31">
        <v>571.6516692942413</v>
      </c>
      <c r="D7" s="32">
        <v>598.6909499189636</v>
      </c>
      <c r="E7" s="31">
        <v>631.5318821285608</v>
      </c>
      <c r="F7" s="31">
        <v>672.3141913729384</v>
      </c>
    </row>
    <row r="8" spans="1:6" x14ac:dyDescent="0.25">
      <c r="A8" s="30">
        <v>0.085671</v>
      </c>
      <c r="B8" s="31">
        <v>483.9117589567501</v>
      </c>
      <c r="C8" s="31">
        <v>498.8066928611713</v>
      </c>
      <c r="D8" s="31">
        <v>516.0708814336796</v>
      </c>
      <c r="E8" s="31">
        <v>536.3426968971794</v>
      </c>
      <c r="F8" s="31">
        <v>560.5124789600814</v>
      </c>
    </row>
    <row r="9" spans="1:6" x14ac:dyDescent="0.25">
      <c r="A9" s="30">
        <v>0.095671</v>
      </c>
      <c r="B9" s="31">
        <v>434.54125088152927</v>
      </c>
      <c r="C9" s="31">
        <v>444.72767044244966</v>
      </c>
      <c r="D9" s="31">
        <v>456.2848115499253</v>
      </c>
      <c r="E9" s="31">
        <v>469.52576252602125</v>
      </c>
      <c r="F9" s="31">
        <v>484.8668202511137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87637000000</v>
      </c>
      <c r="C5" s="18">
        <v>75343000000</v>
      </c>
      <c r="D5" s="18">
        <v>62083000000</v>
      </c>
      <c r="E5" s="18">
        <v>49587000000</v>
      </c>
      <c r="F5" s="8" t="s">
        <v>84</v>
      </c>
    </row>
    <row r="6" spans="1:6" x14ac:dyDescent="0.25">
      <c r="A6" t="s">
        <v>44</v>
      </c>
      <c r="B6" s="18">
        <v>14223000000</v>
      </c>
      <c r="C6" s="18">
        <v>10713000000</v>
      </c>
      <c r="D6" s="18">
        <v>4904000000</v>
      </c>
      <c r="E6" s="18">
        <v>922000000</v>
      </c>
      <c r="F6" s="8" t="s">
        <v>85</v>
      </c>
    </row>
    <row r="7" spans="1:6" x14ac:dyDescent="0.25">
      <c r="A7" t="s">
        <v>86</v>
      </c>
      <c r="B7" s="18">
        <v>313000000</v>
      </c>
      <c r="C7" s="18">
        <v>284000000</v>
      </c>
      <c r="D7" s="18">
        <v>285000000</v>
      </c>
      <c r="E7" s="18">
        <v>306000000</v>
      </c>
      <c r="F7" s="8" t="s">
        <v>87</v>
      </c>
    </row>
    <row r="8" spans="1:6" x14ac:dyDescent="0.25">
      <c r="A8" t="s">
        <v>88</v>
      </c>
      <c r="B8" s="18">
        <v>348000000</v>
      </c>
      <c r="C8" s="18">
        <v>285000000</v>
      </c>
      <c r="D8" s="18">
        <v>252000000</v>
      </c>
      <c r="E8" s="18">
        <v>292000000</v>
      </c>
      <c r="F8" s="8" t="s">
        <v>89</v>
      </c>
    </row>
    <row r="9" spans="1:6" x14ac:dyDescent="0.25">
      <c r="A9" t="s">
        <v>90</v>
      </c>
      <c r="B9" s="18">
        <v>-6630000000</v>
      </c>
      <c r="C9" s="18">
        <v>-6514000000</v>
      </c>
      <c r="D9" s="18">
        <v>-6610000000</v>
      </c>
      <c r="E9" s="18">
        <v>-3587000000</v>
      </c>
      <c r="F9" s="8" t="s">
        <v>91</v>
      </c>
    </row>
    <row r="10" spans="1:6" x14ac:dyDescent="0.25">
      <c r="A10" t="s">
        <v>92</v>
      </c>
      <c r="B10" s="18">
        <v>6897000000</v>
      </c>
      <c r="C10" s="18">
        <v>6893000000</v>
      </c>
      <c r="D10" s="18">
        <v>6889000000</v>
      </c>
      <c r="E10" s="18">
        <v>6388300000</v>
      </c>
      <c r="F10" s="8" t="s">
        <v>93</v>
      </c>
    </row>
    <row r="11" spans="1:6" x14ac:dyDescent="0.25">
      <c r="A11" t="s">
        <v>94</v>
      </c>
      <c r="B11" s="18">
        <v>19836000000</v>
      </c>
      <c r="C11" s="18">
        <v>76090000000</v>
      </c>
      <c r="D11" s="18">
        <v>62253000000</v>
      </c>
      <c r="E11" s="18">
        <v>49717100000</v>
      </c>
      <c r="F11" s="8" t="s">
        <v>95</v>
      </c>
    </row>
    <row r="12" spans="1:6" x14ac:dyDescent="0.25">
      <c r="A12" t="s">
        <v>32</v>
      </c>
      <c r="B12" s="34">
        <v>588100000</v>
      </c>
      <c r="C12" s="34">
        <v>587700000</v>
      </c>
      <c r="D12" s="34">
        <v>587500000</v>
      </c>
      <c r="E12" s="34">
        <v>587100000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2026-09-19T01:06:06Z</dcterms:modified>
</cp:coreProperties>
</file>