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<sst xmlns="http://schemas.openxmlformats.org/spreadsheetml/2006/main" count="112" uniqueCount="100">
  <si>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Parker-Hannifin Corporation (PH)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</si>
  <si>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</si>
  <si>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</si>
  <si>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</si>
  <si>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</si>
  <si>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</si>
  <si>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</si>
  <si>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</si>
  <si>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</si>
  <si>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</si>
  <si>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</si>
  <si>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</si>
  <si>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</si>
  <si>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</si>
  <si>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</si>
  <si>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</si>
  <si>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</si>
  <si>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</si>
  <si>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</si>
  <si>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</si>
  <si>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</si>
  <si>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</si>
  <si>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</si>
  <si>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</si>
  <si>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</si>
  <si>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</si>
  <si>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</si>
  <si>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</si>
  <si>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</si>
  <si>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</si>
  <si>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</si>
  <si>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</si>
  <si>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</si>
  <si>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</si>
  <si>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</si>
  <si>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</si>
  <si>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</si>
  <si>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</si>
  <si>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</si>
  <si>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</si>
  <si>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</si>
  <si>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</si>
  <si>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</si>
  <si>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</si>
  <si>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</si>
  <si>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</si>
  <si>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</si>
  <si>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</si>
  <si>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</si>
  <si>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</si>
  <si>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</si>
  <si>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</si>
  <si>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</si>
  <si>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</si>
  <si>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</si>
  <si>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</si>
  <si>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</si>
  <si>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</si>
  <si>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</si>
  <si>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</si>
  <si>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</si>
  <si>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</si>
  <si>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</si>
  <si>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</si>
  <si>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</si>
  <si>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</si>
  <si>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</si>
  <si>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</si>
  <si>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</si>
  <si>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</si>
  <si>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</si>
  <si>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</si>
  <si>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</si>
  <si>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</si>
  <si>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</si>
  <si>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</si>
  <si>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</si>
  <si>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</si>
  <si>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</si>
  <si>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</si>
  <si>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</si>
  <si>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</si>
  <si>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</si>
  <si>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</si>
  <si>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</si>
  <si>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</si>
  <si>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</si>
  <si>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</si>
  <si>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</si>
  <si>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</si>
  <si>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</si>
  <si>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</si>
  <si>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</si>
  <si>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</si>
  <si>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</si>
  <si>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</si>
  <si>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</si>
  <si>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</si>
  <si>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Current EV/EBITDA of 22.8x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</si>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</sst>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0.04086358943321322</v>
      </c>
    </row>
    <row r="7" spans="1:2" x14ac:dyDescent="0.25">
      <c r="A7" t="s">
        <v>5</v>
      </c>
      <c r="B7" s="6">
        <v>0.19307145816981747</v>
      </c>
    </row>
    <row r="8" spans="1:2" x14ac:dyDescent="0.25">
      <c r="A8" t="s">
        <v>6</v>
      </c>
      <c r="B8" s="6">
        <v>0.20446495165656392</v>
      </c>
    </row>
    <row r="9" spans="1:2" x14ac:dyDescent="0.25">
      <c r="A9" t="s">
        <v>7</v>
      </c>
      <c r="B9" s="6">
        <v>0.04467369022348286</v>
      </c>
    </row>
    <row r="10" spans="1:2" x14ac:dyDescent="0.25">
      <c r="A10" t="s">
        <v>8</v>
      </c>
      <c r="B10" s="6">
        <v>0.020829674531641418</v>
      </c>
    </row>
    <row r="11" spans="1:2" x14ac:dyDescent="0.25">
      <c r="A11" t="s">
        <v>9</v>
      </c>
      <c r="B11" s="6">
        <v>0.1795027289266222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0.13719213058501392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1.0824099999999999</v>
      </c>
      <c r="C19" s="8" t="s">
        <v>19</v>
      </c>
    </row>
    <row r="20" spans="1:2" x14ac:dyDescent="0.25">
      <c r="A20" t="s">
        <v>20</v>
      </c>
      <c r="B20" s="10">
        <f>B17+B19*B18</f>
        <v>0.10951255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118930825216</v>
      </c>
    </row>
    <row r="23" spans="1:2" x14ac:dyDescent="0.25">
      <c r="A23" t="s">
        <v>24</v>
      </c>
      <c r="B23" s="11">
        <v>8520000000</v>
      </c>
    </row>
    <row r="24" spans="1:2" x14ac:dyDescent="0.25">
      <c r="A24" t="s">
        <v>25</v>
      </c>
      <c r="B24" s="10">
        <f>B22/(B22+B23)</f>
        <v>0.9331506878393251</v>
      </c>
    </row>
    <row r="25" spans="1:2" x14ac:dyDescent="0.25">
      <c r="A25" t="s">
        <v>26</v>
      </c>
      <c r="B25" s="10">
        <f>1-B24</f>
        <v>0.06684931216067491</v>
      </c>
    </row>
    <row r="26" spans="1:2" x14ac:dyDescent="0.25">
      <c r="A26" t="s">
        <v>27</v>
      </c>
      <c r="B26" s="12">
        <f>B24*B20+B25*B21*(1-B8)</f>
        <v>0.10484969627919626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21499000000</v>
      </c>
      <c r="C29" s="8" t="s">
        <v>30</v>
      </c>
    </row>
    <row r="30" spans="1:2" x14ac:dyDescent="0.25">
      <c r="A30" t="s">
        <v>31</v>
      </c>
      <c r="B30" s="11">
        <v>8019000000</v>
      </c>
    </row>
    <row r="31" spans="1:2" x14ac:dyDescent="0.25">
      <c r="A31" t="s">
        <v>32</v>
      </c>
      <c r="B31" s="13">
        <v>126100000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0.04086358943321322</v>
      </c>
      <c r="C5" s="10">
        <f>Assumptions!B6</f>
        <v>0.04086358943321322</v>
      </c>
      <c r="D5" s="10">
        <f>Assumptions!B6</f>
        <v>0.04086358943321322</v>
      </c>
      <c r="E5" s="10">
        <f>Assumptions!B6</f>
        <v>0.04086358943321322</v>
      </c>
      <c r="F5" s="10">
        <f>Assumptions!B6</f>
        <v>0.04086358943321322</v>
      </c>
    </row>
    <row r="6" spans="1:6" x14ac:dyDescent="0.25">
      <c r="A6" t="s">
        <v>43</v>
      </c>
      <c r="B6" s="18">
        <f>Assumptions!B29*(1+B5)</f>
        <v>22377526309.22465</v>
      </c>
      <c r="C6" s="18">
        <f>B6*(1+C5)</f>
        <v>23291952356.855736</v>
      </c>
      <c r="D6" s="18">
        <f>C6*(1+D5)</f>
        <v>24243745135.06425</v>
      </c>
      <c r="E6" s="18">
        <f>D6*(1+E5)</f>
        <v>25234431582.586975</v>
      </c>
      <c r="F6" s="18">
        <f>E6*(1+F5)</f>
        <v>26265601034.35832</v>
      </c>
    </row>
    <row r="7" spans="1:6" x14ac:dyDescent="0.25">
      <c r="A7" t="s">
        <v>5</v>
      </c>
      <c r="B7" s="10">
        <f>Assumptions!B7</f>
        <v>0.19307145816981747</v>
      </c>
      <c r="C7" s="10">
        <f>Assumptions!B7</f>
        <v>0.19307145816981747</v>
      </c>
      <c r="D7" s="10">
        <f>Assumptions!B7</f>
        <v>0.19307145816981747</v>
      </c>
      <c r="E7" s="10">
        <f>Assumptions!B7</f>
        <v>0.19307145816981747</v>
      </c>
      <c r="F7" s="10">
        <f>Assumptions!B7</f>
        <v>0.19307145816981747</v>
      </c>
    </row>
    <row r="8" spans="1:6" x14ac:dyDescent="0.25">
      <c r="A8" t="s">
        <v>44</v>
      </c>
      <c r="B8" s="18">
        <f>B6*B7</f>
        <v>4320461634.755457</v>
      </c>
      <c r="C8" s="18">
        <f>C6*C7</f>
        <v>4497011205.160053</v>
      </c>
      <c r="D8" s="18">
        <f>D6*D7</f>
        <v>4680775224.724274</v>
      </c>
      <c r="E8" s="18">
        <f>E6*E7</f>
        <v>4872048501.736562</v>
      </c>
      <c r="F8" s="18">
        <f>F6*F7</f>
        <v>5071137891.410227</v>
      </c>
    </row>
    <row r="9" spans="1:6" x14ac:dyDescent="0.25">
      <c r="A9" t="s">
        <v>45</v>
      </c>
      <c r="B9" s="18">
        <f>B8*(1-Assumptions!B8)</f>
        <v>3437078655.4711432</v>
      </c>
      <c r="C9" s="18">
        <f>C8*(1-Assumptions!B8)</f>
        <v>3577530026.4979763</v>
      </c>
      <c r="D9" s="18">
        <f>D8*(1-Assumptions!B8)</f>
        <v>3723720744.685783</v>
      </c>
      <c r="E9" s="18">
        <f>E8*(1-Assumptions!B8)</f>
        <v>3875885340.360561</v>
      </c>
      <c r="F9" s="18">
        <f>F8*(1-Assumptions!B8)</f>
        <v>4034267927.599265</v>
      </c>
    </row>
    <row r="10" spans="1:6" x14ac:dyDescent="0.25">
      <c r="A10" t="s">
        <v>46</v>
      </c>
      <c r="B10" s="18">
        <f>B6*Assumptions!B9</f>
        <v>999686678.3061398</v>
      </c>
      <c r="C10" s="18">
        <f>C6*Assumptions!B9</f>
        <v>1040537464.2902946</v>
      </c>
      <c r="D10" s="18">
        <f>D6*Assumptions!B9</f>
        <v>1083057560.02093</v>
      </c>
      <c r="E10" s="18">
        <f>E6*Assumptions!B9</f>
        <v>1127315179.486163</v>
      </c>
      <c r="F10" s="18">
        <f>F6*Assumptions!B9</f>
        <v>1173381324.1425145</v>
      </c>
    </row>
    <row r="11" spans="1:6" x14ac:dyDescent="0.25">
      <c r="A11" t="s">
        <v>47</v>
      </c>
      <c r="B11" s="18">
        <f>-B6*Assumptions!B10</f>
        <v>-466116589.8443925</v>
      </c>
      <c r="C11" s="18">
        <f>-C6*Assumptions!B10</f>
        <v>-485163786.7998032</v>
      </c>
      <c r="D11" s="18">
        <f>-D6*Assumptions!B10</f>
        <v>-504989320.5914534</v>
      </c>
      <c r="E11" s="18">
        <f>-E6*Assumptions!B10</f>
        <v>-525624996.85625976</v>
      </c>
      <c r="F11" s="18">
        <f>-F6*Assumptions!B10</f>
        <v>-547103920.923628</v>
      </c>
    </row>
    <row r="12" spans="1:6" x14ac:dyDescent="0.25">
      <c r="A12" t="s">
        <v>48</v>
      </c>
      <c r="B12" s="18">
        <f>-(B6-Assumptions!B29)*Assumptions!B11</f>
        <v>-157697869.93965846</v>
      </c>
      <c r="C12" s="18">
        <f>-(C6-B6)*Assumptions!B11</f>
        <v>-164141970.95136505</v>
      </c>
      <c r="D12" s="18">
        <f>-(D6-C6)*Assumptions!B11</f>
        <v>-170849401.06107974</v>
      </c>
      <c r="E12" s="18">
        <f>-(E6-D6)*Assumptions!B11</f>
        <v>-177830920.8409499</v>
      </c>
      <c r="F12" s="18">
        <f>-(F6-E6)*Assumptions!B11</f>
        <v>-185097730.57872504</v>
      </c>
    </row>
    <row r="13" spans="1:6" x14ac:dyDescent="0.25">
      <c r="A13" s="19" t="s">
        <v>49</v>
      </c>
      <c r="B13" s="20">
        <f>B9+B10+B11+B12</f>
        <v>3812950873.993232</v>
      </c>
      <c r="C13" s="20">
        <f>C9+C10+C11+C12</f>
        <v>3968761733.0371027</v>
      </c>
      <c r="D13" s="20">
        <f>D9+D10+D11+D12</f>
        <v>4130939583.054179</v>
      </c>
      <c r="E13" s="20">
        <f>E9+E10+E11+E12</f>
        <v>4299744602.149514</v>
      </c>
      <c r="F13" s="20">
        <f>F9+F10+F11+F12</f>
        <v>4475447600.239427</v>
      </c>
    </row>
    <row r="14" spans="1:6" x14ac:dyDescent="0.25">
      <c r="A14" t="s">
        <v>50</v>
      </c>
      <c r="B14" s="21">
        <f>1/(1+Assumptions!$B$26)^(1-0.5*Assumptions!$B$32)</f>
        <v>0.9513676937239732</v>
      </c>
      <c r="C14" s="21">
        <f>1/(1+Assumptions!$B$26)^(2-0.5*Assumptions!$B$32)</f>
        <v>0.8610833644864957</v>
      </c>
      <c r="D14" s="21">
        <f>1/(1+Assumptions!$B$26)^(3-0.5*Assumptions!$B$32)</f>
        <v>0.7793669739751634</v>
      </c>
      <c r="E14" s="21">
        <f>1/(1+Assumptions!$B$26)^(4-0.5*Assumptions!$B$32)</f>
        <v>0.7054054289916887</v>
      </c>
      <c r="F14" s="21">
        <f>1/(1+Assumptions!$B$26)^(5-0.5*Assumptions!$B$32)</f>
        <v>0.6384627984849736</v>
      </c>
    </row>
    <row r="15" spans="1:6" x14ac:dyDescent="0.25">
      <c r="A15" s="19" t="s">
        <v>51</v>
      </c>
      <c r="B15" s="20">
        <f>B13*B14</f>
        <v>3627518279.273749</v>
      </c>
      <c r="C15" s="20">
        <f>C13*C14</f>
        <v>3417434705.928844</v>
      </c>
      <c r="D15" s="20">
        <f>D13*D14</f>
        <v>3219517882.519159</v>
      </c>
      <c r="E15" s="20">
        <f>E13*E14</f>
        <v>3033063185.633976</v>
      </c>
      <c r="F15" s="20">
        <f>F13*F14</f>
        <v>2857406799.3217235</v>
      </c>
    </row>
    <row r="17" spans="1:2" x14ac:dyDescent="0.25">
      <c r="A17" s="22" t="s">
        <v>52</v>
      </c>
      <c r="B17" s="23">
        <f>SUM(B15:F15)</f>
        <v>16154940852.677452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4475447600.239427</v>
      </c>
    </row>
    <row r="5" spans="1:2" x14ac:dyDescent="0.25">
      <c r="A5" t="s">
        <v>56</v>
      </c>
      <c r="B5" s="18">
        <f>IF(Assumptions!$B$33=0,B4,B4-Forecast!F11-Forecast!F10-Forecast!F12)</f>
        <v>4610469026.280661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0.18222619543406127</v>
      </c>
    </row>
    <row r="7" spans="1:2" x14ac:dyDescent="0.25">
      <c r="A7" t="s">
        <v>58</v>
      </c>
      <c r="B7" s="18">
        <f>-MAX(Forecast!F9,0)*B6</f>
        <v>-840148229.8257058</v>
      </c>
    </row>
    <row r="8" spans="1:2" x14ac:dyDescent="0.25">
      <c r="A8" t="s">
        <v>59</v>
      </c>
      <c r="B8" s="18">
        <f>IF(OR(Assumptions!$B$33=0,Assumptions!B12&lt;=0),B5,MAX(B5+B7,0))</f>
        <v>3770320796.454955</v>
      </c>
    </row>
    <row r="9" spans="1:2" x14ac:dyDescent="0.25">
      <c r="A9" t="s">
        <v>60</v>
      </c>
      <c r="B9" s="18">
        <f>B8*(1+Assumptions!B12)/(Assumptions!B26-Assumptions!B12)</f>
        <v>48398165509.03014</v>
      </c>
    </row>
    <row r="10" spans="1:2" x14ac:dyDescent="0.25">
      <c r="A10" t="s">
        <v>61</v>
      </c>
      <c r="B10" s="18">
        <f>B9/(1+Assumptions!B26)^(5-0.5*Assumptions!B32)</f>
        <v>30900428192.43431</v>
      </c>
    </row>
    <row r="11" spans="1:2" x14ac:dyDescent="0.25">
      <c r="A11" t="s">
        <v>62</v>
      </c>
      <c r="B11" s="18">
        <f>Forecast!B17+B10</f>
        <v>47055369045.11176</v>
      </c>
    </row>
    <row r="12" spans="1:2" x14ac:dyDescent="0.25">
      <c r="A12" t="s">
        <v>63</v>
      </c>
      <c r="B12" s="18">
        <f>-Assumptions!B30</f>
        <v>-8019000000</v>
      </c>
    </row>
    <row r="13" spans="1:2" x14ac:dyDescent="0.25">
      <c r="A13" t="s">
        <v>64</v>
      </c>
      <c r="B13" s="18">
        <f>B11+B12</f>
        <v>39036369045.11176</v>
      </c>
    </row>
    <row r="14" spans="1:2" x14ac:dyDescent="0.25">
      <c r="A14" s="19" t="s">
        <v>65</v>
      </c>
      <c r="B14" s="24">
        <f>B13/Assumptions!B31</f>
        <v>309.5667648303867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6244519215.552741</v>
      </c>
    </row>
    <row r="18" spans="1:2" x14ac:dyDescent="0.25">
      <c r="A18" t="s">
        <v>60</v>
      </c>
      <c r="B18" s="18">
        <f>B17*Assumptions!B13</f>
        <v>124890384311.05482</v>
      </c>
    </row>
    <row r="19" spans="1:2" x14ac:dyDescent="0.25">
      <c r="A19" t="s">
        <v>61</v>
      </c>
      <c r="B19" s="18">
        <f>B18/(1+Assumptions!B26)^(5-0.5*Assumptions!B32)</f>
        <v>79737864271.0999</v>
      </c>
    </row>
    <row r="20" spans="1:2" x14ac:dyDescent="0.25">
      <c r="A20" t="s">
        <v>62</v>
      </c>
      <c r="B20" s="18">
        <f>Forecast!B17+B19</f>
        <v>95892805123.77734</v>
      </c>
    </row>
    <row r="21" spans="1:2" x14ac:dyDescent="0.25">
      <c r="A21" t="s">
        <v>63</v>
      </c>
      <c r="B21" s="18">
        <f>-Assumptions!B30</f>
        <v>-8019000000</v>
      </c>
    </row>
    <row r="22" spans="1:2" x14ac:dyDescent="0.25">
      <c r="A22" t="s">
        <v>64</v>
      </c>
      <c r="B22" s="18">
        <f>B20+B21</f>
        <v>87873805123.77734</v>
      </c>
    </row>
    <row r="23" spans="1:2" x14ac:dyDescent="0.25">
      <c r="A23" s="19" t="s">
        <v>65</v>
      </c>
      <c r="B23" s="25">
        <f>B22/Assumptions!B31</f>
        <v>696.858089799979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943.54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309.5667648303867</v>
      </c>
    </row>
    <row r="29" spans="1:2" x14ac:dyDescent="0.25">
      <c r="A29" s="19" t="s">
        <v>73</v>
      </c>
      <c r="B29" s="12">
        <f>B28/B26-1</f>
        <v>-0.6719092303130904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0.08485</v>
      </c>
      <c r="B5" s="31">
        <v>398.26383088664625</v>
      </c>
      <c r="C5" s="31">
        <v>410.76596986639095</v>
      </c>
      <c r="D5" s="31">
        <v>425.2026935522763</v>
      </c>
      <c r="E5" s="31">
        <v>442.10305883750397</v>
      </c>
      <c r="F5" s="31">
        <v>462.2083821511637</v>
      </c>
    </row>
    <row r="6" spans="1:6" x14ac:dyDescent="0.25">
      <c r="A6" s="30">
        <v>0.09485</v>
      </c>
      <c r="B6" s="31">
        <v>342.65499230279363</v>
      </c>
      <c r="C6" s="31">
        <v>350.41569374898125</v>
      </c>
      <c r="D6" s="31">
        <v>359.1605631452106</v>
      </c>
      <c r="E6" s="31">
        <v>369.1172414976594</v>
      </c>
      <c r="F6" s="31">
        <v>380.58944032417725</v>
      </c>
    </row>
    <row r="7" spans="1:6" x14ac:dyDescent="0.25">
      <c r="A7" s="30">
        <v>0.10485</v>
      </c>
      <c r="B7" s="31">
        <v>299.3894159164834</v>
      </c>
      <c r="C7" s="31">
        <v>304.2277397907488</v>
      </c>
      <c r="D7" s="32">
        <v>309.56544577894385</v>
      </c>
      <c r="E7" s="31">
        <v>315.50261045700665</v>
      </c>
      <c r="F7" s="31">
        <v>322.16796511123664</v>
      </c>
    </row>
    <row r="8" spans="1:6" x14ac:dyDescent="0.25">
      <c r="A8" s="30">
        <v>0.11485</v>
      </c>
      <c r="B8" s="31">
        <v>264.7603048924576</v>
      </c>
      <c r="C8" s="31">
        <v>267.7258421562289</v>
      </c>
      <c r="D8" s="31">
        <v>270.9305096007286</v>
      </c>
      <c r="E8" s="31">
        <v>274.41658127087044</v>
      </c>
      <c r="F8" s="31">
        <v>278.2369195759796</v>
      </c>
    </row>
    <row r="9" spans="1:6" x14ac:dyDescent="0.25">
      <c r="A9" s="30">
        <v>0.12485</v>
      </c>
      <c r="B9" s="31">
        <v>236.41052031541284</v>
      </c>
      <c r="C9" s="31">
        <v>238.14123021169422</v>
      </c>
      <c r="D9" s="31">
        <v>239.9666757174212</v>
      </c>
      <c r="E9" s="31">
        <v>241.90183874236382</v>
      </c>
      <c r="F9" s="31">
        <v>243.96503606769323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21499000000</v>
      </c>
      <c r="C5" s="18">
        <v>19850000000</v>
      </c>
      <c r="D5" s="18">
        <v>19930000000</v>
      </c>
      <c r="E5" s="18">
        <v>19065000000</v>
      </c>
      <c r="F5" s="8" t="s">
        <v>84</v>
      </c>
    </row>
    <row r="6" spans="1:6" x14ac:dyDescent="0.25">
      <c r="A6" t="s">
        <v>44</v>
      </c>
      <c r="B6" s="18">
        <v>4634000000</v>
      </c>
      <c r="C6" s="18">
        <v>4052000000</v>
      </c>
      <c r="D6" s="18">
        <v>3813000000</v>
      </c>
      <c r="E6" s="18">
        <v>3075000000</v>
      </c>
      <c r="F6" s="8" t="s">
        <v>85</v>
      </c>
    </row>
    <row r="7" spans="1:6" x14ac:dyDescent="0.25">
      <c r="A7" t="s">
        <v>86</v>
      </c>
      <c r="B7" s="18">
        <v>937000000</v>
      </c>
      <c r="C7" s="18">
        <v>907000000</v>
      </c>
      <c r="D7" s="18">
        <v>927000000</v>
      </c>
      <c r="E7" s="18">
        <v>818000000</v>
      </c>
      <c r="F7" s="8" t="s">
        <v>87</v>
      </c>
    </row>
    <row r="8" spans="1:6" x14ac:dyDescent="0.25">
      <c r="A8" t="s">
        <v>88</v>
      </c>
      <c r="B8" s="18">
        <v>459000000</v>
      </c>
      <c r="C8" s="18">
        <v>435000000</v>
      </c>
      <c r="D8" s="18">
        <v>400000000</v>
      </c>
      <c r="E8" s="18">
        <v>381000000</v>
      </c>
      <c r="F8" s="8" t="s">
        <v>89</v>
      </c>
    </row>
    <row r="9" spans="1:6" x14ac:dyDescent="0.25">
      <c r="A9" t="s">
        <v>90</v>
      </c>
      <c r="B9" s="18">
        <v>296000000</v>
      </c>
      <c r="C9" s="18">
        <v>153000000</v>
      </c>
      <c r="D9" s="18">
        <v>365000000</v>
      </c>
      <c r="E9" s="18">
        <v>-141000000</v>
      </c>
      <c r="F9" s="8" t="s">
        <v>91</v>
      </c>
    </row>
    <row r="10" spans="1:6" x14ac:dyDescent="0.25">
      <c r="A10" t="s">
        <v>92</v>
      </c>
      <c r="B10" s="18">
        <v>8520000000</v>
      </c>
      <c r="C10" s="18">
        <v>9285000000</v>
      </c>
      <c r="D10" s="18">
        <v>10560000000</v>
      </c>
      <c r="E10" s="18">
        <v>12559459000</v>
      </c>
      <c r="F10" s="8" t="s">
        <v>93</v>
      </c>
    </row>
    <row r="11" spans="1:6" x14ac:dyDescent="0.25">
      <c r="A11" t="s">
        <v>94</v>
      </c>
      <c r="B11" s="18">
        <v>501000000</v>
      </c>
      <c r="C11" s="18">
        <v>467000000</v>
      </c>
      <c r="D11" s="18">
        <v>422000000</v>
      </c>
      <c r="E11" s="18">
        <v>475182000</v>
      </c>
      <c r="F11" s="8" t="s">
        <v>95</v>
      </c>
    </row>
    <row r="12" spans="1:6" x14ac:dyDescent="0.25">
      <c r="A12" t="s">
        <v>32</v>
      </c>
      <c r="B12" s="34">
        <v>126100000</v>
      </c>
      <c r="C12" s="34">
        <v>130200000</v>
      </c>
      <c r="D12" s="34">
        <v>130239737</v>
      </c>
      <c r="E12" s="34">
        <v>129822085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2026-09-19T00:06:37Z</dcterms:modified>
</cp:coreProperties>
</file>