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<sst xmlns="http://schemas.openxmlformats.org/spreadsheetml/2006/main" count="120" uniqueCount="107">
  <si>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Parker-Hannifin Corporation (PH)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</si>
  <si>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</si>
  <si>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</si>
  <si>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</si>
  <si>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</si>
  <si>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</si>
  <si>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</si>
  <si>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</si>
  <si>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</si>
  <si>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</si>
  <si>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</si>
  <si>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</si>
  <si>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</si>
  <si>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</si>
  <si>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</si>
  <si>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</si>
  <si>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</si>
  <si>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</si>
  <si>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</si>
  <si>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</si>
  <si>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</si>
  <si>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</si>
  <si>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</si>
  <si>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</si>
  <si>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11.6x interest cover. Book interest / average debt was lower, at 4.5%.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</si>
  <si>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</si>
  <si>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</si>
  <si>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</si>
  <si>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</si>
  <si>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</si>
  <si>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</si>
  <si>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</si>
  <si>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2026-06-30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</si>
  <si>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</si>
  <si>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</si>
  <si>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</si>
  <si>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</si>
  <si>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</si>
  <si>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</si>
  <si>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</si>
  <si>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</si>
  <si>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</si>
  <si>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</si>
  <si>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</si>
  <si>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</si>
  <si>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</si>
  <si>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</si>
  <si>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</si>
  <si>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</si>
  <si>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FY36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</si>
  <si>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</si>
  <si>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</si>
  <si>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</si>
  <si>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</si>
  <si>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</si>
  <si>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</si>
  <si>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</si>
  <si>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</si>
  <si>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</si>
  <si>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</si>
  <si>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</si>
  <si>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</si>
  <si>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</si>
  <si>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</si>
  <si>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</si>
  <si>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</si>
  <si>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</si>
  <si>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</si>
  <si>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</si>
  <si>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</si>
  <si>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</si>
  <si>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</si>
  <si>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</si>
  <si>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</si>
  <si>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</si>
  <si>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</si>
  <si>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</si>
  <si>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</si>
  <si>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</si>
  <si>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</si>
  <si>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</si>
  <si>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</si>
  <si>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</si>
  <si>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</si>
  <si>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</si>
  <si>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</si>
  <si>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</si>
  <si>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</si>
  <si>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</si>
  <si>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</si>
  <si>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</si>
  <si>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</si>
  <si>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</si>
  <si>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</si>
  <si>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</si>
  <si>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</si>
  <si>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</si>
  <si>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</si>
  <si>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</si>
  <si>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</si>
  <si>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</si>
  <si>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</si>
  <si>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</si>
  <si>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ordinarySharesNumber</t>
  </si>
  <si>
    <t>Model notes</t>
  </si>
  <si>
    <t>Current EV/EBITDA of 21.8x sits outside a defensible 3-20x band, so the exit multiple is capped at 20.0x. A multiple that far out usually means EBITDA is the wrong denominator for this business.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</si>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</sst>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0.15290008325968651</v>
      </c>
    </row>
    <row r="7" spans="1:2" x14ac:dyDescent="0.25">
      <c r="A7" t="s">
        <v>4</v>
      </c>
      <c r="B7" s="5">
        <v>0.19307145816981747</v>
      </c>
    </row>
    <row r="8" spans="1:2" x14ac:dyDescent="0.25">
      <c r="A8" t="s">
        <v>5</v>
      </c>
      <c r="B8" s="5">
        <v>0.20446495165656392</v>
      </c>
    </row>
    <row r="9" spans="1:2" x14ac:dyDescent="0.25">
      <c r="A9" t="s">
        <v>6</v>
      </c>
      <c r="B9" s="5">
        <v>0.04467369022348286</v>
      </c>
    </row>
    <row r="10" spans="1:3" x14ac:dyDescent="0.25">
      <c r="A10" t="s">
        <v>7</v>
      </c>
      <c r="B10" s="5">
        <v>0.020829674531641418</v>
      </c>
      <c r="C10" s="6" t="s">
        <v>8</v>
      </c>
    </row>
    <row r="11" spans="1:2" x14ac:dyDescent="0.25">
      <c r="A11" t="s">
        <v>9</v>
      </c>
      <c r="B11" s="5">
        <v>0.1831059084629958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5">
        <v>0.13719213058501392</v>
      </c>
      <c r="C14" s="6" t="s">
        <v>13</v>
      </c>
    </row>
    <row r="15" spans="1:3" x14ac:dyDescent="0.25">
      <c r="A15" t="s">
        <v>14</v>
      </c>
      <c r="B15" s="5">
        <v>0.017097934642055744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1.07973</v>
      </c>
      <c r="C19" s="6" t="s">
        <v>21</v>
      </c>
    </row>
    <row r="20" spans="1:2" x14ac:dyDescent="0.25">
      <c r="A20" t="s">
        <v>22</v>
      </c>
      <c r="B20" s="9">
        <f>B17+B19*B18</f>
        <v>0.094612579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113478475776</v>
      </c>
    </row>
    <row r="23" spans="1:2" x14ac:dyDescent="0.25">
      <c r="A23" t="s">
        <v>26</v>
      </c>
      <c r="B23" s="10">
        <v>8520000000</v>
      </c>
    </row>
    <row r="24" spans="1:2" x14ac:dyDescent="0.25">
      <c r="A24" t="s">
        <v>27</v>
      </c>
      <c r="B24" s="9">
        <f>B22/(B22+B23)</f>
        <v>0.9301630619087121</v>
      </c>
    </row>
    <row r="25" spans="1:2" x14ac:dyDescent="0.25">
      <c r="A25" t="s">
        <v>28</v>
      </c>
      <c r="B25" s="9">
        <f>1-B24</f>
        <v>0.06983693809128788</v>
      </c>
    </row>
    <row r="26" spans="1:2" x14ac:dyDescent="0.25">
      <c r="A26" t="s">
        <v>29</v>
      </c>
      <c r="B26" s="11">
        <f>B24*B20+B25*B21*(1-B8)</f>
        <v>0.09094635250559703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21499000000</v>
      </c>
      <c r="C29" s="6" t="s">
        <v>32</v>
      </c>
    </row>
    <row r="30" spans="1:2" x14ac:dyDescent="0.25">
      <c r="A30" t="s">
        <v>33</v>
      </c>
      <c r="B30" s="10">
        <v>8019000000</v>
      </c>
    </row>
    <row r="31" spans="1:2" x14ac:dyDescent="0.25">
      <c r="A31" t="s">
        <v>34</v>
      </c>
      <c r="B31" s="12">
        <v>126100000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0.15290008325968651</v>
      </c>
      <c r="C5" s="5">
        <v>0.07498101819677605</v>
      </c>
      <c r="D5" s="5">
        <v>0.06873339092217905</v>
      </c>
      <c r="E5" s="5">
        <v>0.062485763647582036</v>
      </c>
      <c r="F5" s="5">
        <v>0.05623813637298503</v>
      </c>
      <c r="G5" s="5">
        <v>0.04999050909838802</v>
      </c>
      <c r="H5" s="5">
        <v>0.04374288182379102</v>
      </c>
      <c r="I5" s="5">
        <v>0.037495254549194015</v>
      </c>
      <c r="J5" s="5">
        <v>0.031247627274597005</v>
      </c>
      <c r="K5" s="5">
        <v>0.025</v>
      </c>
    </row>
    <row r="6" spans="1:11" x14ac:dyDescent="0.25">
      <c r="A6" t="s">
        <v>50</v>
      </c>
      <c r="B6" s="18">
        <f>Assumptions!B29*(1+B5)</f>
        <v>24786198890</v>
      </c>
      <c r="C6" s="18">
        <f>B6*(1+C5)</f>
        <v>26644693320</v>
      </c>
      <c r="D6" s="18">
        <f>C6*(1+D5)</f>
        <v>28476073441.96513</v>
      </c>
      <c r="E6" s="18">
        <f>D6*(1+E5)</f>
        <v>30255422636.670948</v>
      </c>
      <c r="F6" s="18">
        <f>E6*(1+F5)</f>
        <v>31956931220.93435</v>
      </c>
      <c r="G6" s="18">
        <f>F6*(1+G5)</f>
        <v>33554474481.89103</v>
      </c>
      <c r="H6" s="18">
        <f>G6*(1+H5)</f>
        <v>35022243893.8118</v>
      </c>
      <c r="I6" s="18">
        <f>H6*(1+I5)</f>
        <v>36335411843.494225</v>
      </c>
      <c r="J6" s="18">
        <f>I6*(1+J5)</f>
        <v>37470807249.648705</v>
      </c>
      <c r="K6" s="18">
        <f>J6*(1+K5)</f>
        <v>38407577430.889915</v>
      </c>
    </row>
    <row r="7" spans="1:11" x14ac:dyDescent="0.25">
      <c r="A7" t="s">
        <v>4</v>
      </c>
      <c r="B7" s="9">
        <f>Assumptions!B7</f>
        <v>0.19307145816981747</v>
      </c>
      <c r="C7" s="9">
        <f>Assumptions!B7</f>
        <v>0.19307145816981747</v>
      </c>
      <c r="D7" s="9">
        <f>Assumptions!B7</f>
        <v>0.19307145816981747</v>
      </c>
      <c r="E7" s="9">
        <f>Assumptions!B7</f>
        <v>0.19307145816981747</v>
      </c>
      <c r="F7" s="9">
        <f>Assumptions!B7</f>
        <v>0.19307145816981747</v>
      </c>
      <c r="G7" s="9">
        <f>Assumptions!B7</f>
        <v>0.19307145816981747</v>
      </c>
      <c r="H7" s="9">
        <f>Assumptions!B7</f>
        <v>0.19307145816981747</v>
      </c>
      <c r="I7" s="9">
        <f>Assumptions!B7</f>
        <v>0.19307145816981747</v>
      </c>
      <c r="J7" s="9">
        <f>Assumptions!B7</f>
        <v>0.19307145816981747</v>
      </c>
      <c r="K7" s="9">
        <f>Assumptions!B7</f>
        <v>0.19307145816981747</v>
      </c>
    </row>
    <row r="8" spans="1:11" x14ac:dyDescent="0.25">
      <c r="A8" t="s">
        <v>51</v>
      </c>
      <c r="B8" s="18">
        <f>B6*B7</f>
        <v>4785507562.179411</v>
      </c>
      <c r="C8" s="18">
        <f>C6*C7</f>
        <v>5144329791.779995</v>
      </c>
      <c r="D8" s="18">
        <f>D6*D7</f>
        <v>5497917022.391021</v>
      </c>
      <c r="E8" s="18">
        <f>E6*E7</f>
        <v>5841458566.006164</v>
      </c>
      <c r="F8" s="18">
        <f>F6*F7</f>
        <v>6169971309.45836</v>
      </c>
      <c r="G8" s="18">
        <f>G6*G7</f>
        <v>6478411316.3406315</v>
      </c>
      <c r="H8" s="18">
        <f>H6*H7</f>
        <v>6761795696.95723</v>
      </c>
      <c r="I8" s="18">
        <f>I6*I7</f>
        <v>7015330947.8242855</v>
      </c>
      <c r="J8" s="18">
        <f>J6*J7</f>
        <v>7234543394.489843</v>
      </c>
      <c r="K8" s="18">
        <f>K6*K7</f>
        <v>7415406979.352088</v>
      </c>
    </row>
    <row r="9" spans="1:11" x14ac:dyDescent="0.25">
      <c r="A9" t="s">
        <v>52</v>
      </c>
      <c r="B9" s="18">
        <f>B8*(1-Assumptions!B8)</f>
        <v>3807038989.8262763</v>
      </c>
      <c r="C9" s="18">
        <f>C8*(1-Assumptions!B8)</f>
        <v>4092494649.5982766</v>
      </c>
      <c r="D9" s="18">
        <f>D8*(1-Assumptions!B8)</f>
        <v>4373785684.19604</v>
      </c>
      <c r="E9" s="18">
        <f>E8*(1-Assumptions!B8)</f>
        <v>4647085022.703892</v>
      </c>
      <c r="F9" s="18">
        <f>F8*(1-Assumptions!B8)</f>
        <v>4908428423.94757</v>
      </c>
      <c r="G9" s="18">
        <f>G8*(1-Assumptions!B8)</f>
        <v>5153803259.733707</v>
      </c>
      <c r="H9" s="18">
        <f>H8*(1-Assumptions!B8)</f>
        <v>5379245466.667307</v>
      </c>
      <c r="I9" s="18">
        <f>I8*(1-Assumptions!B8)</f>
        <v>5580941644.722596</v>
      </c>
      <c r="J9" s="18">
        <f>J8*(1-Assumptions!B8)</f>
        <v>5755332829.078163</v>
      </c>
      <c r="K9" s="18">
        <f>K8*(1-Assumptions!B8)</f>
        <v>5899216149.805117</v>
      </c>
    </row>
    <row r="10" spans="1:11" x14ac:dyDescent="0.25">
      <c r="A10" t="s">
        <v>53</v>
      </c>
      <c r="B10" s="18">
        <f>B6*Assumptions!B9</f>
        <v>1107290971.0294948</v>
      </c>
      <c r="C10" s="18">
        <f>C6*Assumptions!B9</f>
        <v>1190316775.4773831</v>
      </c>
      <c r="D10" s="18">
        <f>D6*Assumptions!B9</f>
        <v>1272131283.7274976</v>
      </c>
      <c r="E10" s="18">
        <f>E6*Assumptions!B9</f>
        <v>1351621378.451189</v>
      </c>
      <c r="F10" s="18">
        <f>F6*Assumptions!B9</f>
        <v>1427634045.857169</v>
      </c>
      <c r="G10" s="18">
        <f>G6*Assumptions!B9</f>
        <v>1499002198.6157603</v>
      </c>
      <c r="H10" s="18">
        <f>H6*Assumptions!B9</f>
        <v>1564572874.6434124</v>
      </c>
      <c r="I10" s="18">
        <f>I6*Assumptions!B9</f>
        <v>1623236932.8389313</v>
      </c>
      <c r="J10" s="18">
        <f>J6*Assumptions!B9</f>
        <v>1673959235.494642</v>
      </c>
      <c r="K10" s="18">
        <f>K6*Assumptions!B9</f>
        <v>1715808216.3820078</v>
      </c>
    </row>
    <row r="11" spans="1:11" x14ac:dyDescent="0.25">
      <c r="A11" t="s">
        <v>54</v>
      </c>
      <c r="B11" s="18">
        <f>-B6*B19</f>
        <v>-516288455.7552318</v>
      </c>
      <c r="C11" s="18">
        <f>-C6*C19</f>
        <v>-638649517.8528221</v>
      </c>
      <c r="D11" s="18">
        <f>-D6*D19</f>
        <v>-771944787.9160707</v>
      </c>
      <c r="E11" s="18">
        <f>-E6*E19</f>
        <v>-915165218.0546095</v>
      </c>
      <c r="F11" s="18">
        <f>-F6*F19</f>
        <v>-1066959047.0677987</v>
      </c>
      <c r="G11" s="18">
        <f>-G6*G19</f>
        <v>-1225638895.6377969</v>
      </c>
      <c r="H11" s="18">
        <f>-H6*H19</f>
        <v>-1389201859.2748141</v>
      </c>
      <c r="I11" s="18">
        <f>-I6*I19</f>
        <v>-1555362925.597771</v>
      </c>
      <c r="J11" s="18">
        <f>-J6*J19</f>
        <v>-1721601413.305794</v>
      </c>
      <c r="K11" s="18">
        <f>-K6*K19</f>
        <v>-1885219462.5389621</v>
      </c>
    </row>
    <row r="12" spans="1:11" x14ac:dyDescent="0.25">
      <c r="A12" t="s">
        <v>55</v>
      </c>
      <c r="B12" s="18">
        <f>-(B6-Assumptions!B29)*Assumptions!B11</f>
        <v>-601905539.0520014</v>
      </c>
      <c r="C12" s="18">
        <f>-(C6-B6)*Assumptions!B11</f>
        <v>-340301310.97856754</v>
      </c>
      <c r="D12" s="18">
        <f>-(D6-C6)*Assumptions!B11</f>
        <v>-335336520.97349715</v>
      </c>
      <c r="E12" s="18">
        <f>-(E6-D6)*Assumptions!B11</f>
        <v>-325809350.76950884</v>
      </c>
      <c r="F12" s="18">
        <f>-(F6-E6)*Assumptions!B11</f>
        <v>-311556275.0791359</v>
      </c>
      <c r="G12" s="18">
        <f>-(G6-F6)*Assumptions!B11</f>
        <v>-292519610.1064097</v>
      </c>
      <c r="H12" s="18">
        <f>-(H6-G6)*Assumptions!B11</f>
        <v>-268757251.58394945</v>
      </c>
      <c r="I12" s="18">
        <f>-(I6-H6)*Assumptions!B11</f>
        <v>-240448810.39109024</v>
      </c>
      <c r="J12" s="18">
        <f>-(J6-I6)*Assumptions!B11</f>
        <v>-207897607.30862814</v>
      </c>
      <c r="K12" s="18">
        <f>-(K6-J6)*Assumptions!B11</f>
        <v>-171528155.05721715</v>
      </c>
    </row>
    <row r="13" spans="1:11" x14ac:dyDescent="0.25">
      <c r="A13" s="19" t="s">
        <v>56</v>
      </c>
      <c r="B13" s="20">
        <f>B9+B10+B11+B12</f>
        <v>3796135966.0485377</v>
      </c>
      <c r="C13" s="20">
        <f>C9+C10+C11+C12</f>
        <v>4303860596.24427</v>
      </c>
      <c r="D13" s="20">
        <f>D9+D10+D11+D12</f>
        <v>4538635659.03397</v>
      </c>
      <c r="E13" s="20">
        <f>E9+E10+E11+E12</f>
        <v>4757731832.330963</v>
      </c>
      <c r="F13" s="20">
        <f>F9+F10+F11+F12</f>
        <v>4957547147.6578045</v>
      </c>
      <c r="G13" s="20">
        <f>G9+G10+G11+G12</f>
        <v>5134646952.605262</v>
      </c>
      <c r="H13" s="20">
        <f>H9+H10+H11+H12</f>
        <v>5285859230.451957</v>
      </c>
      <c r="I13" s="20">
        <f>I9+I10+I11+I12</f>
        <v>5408366841.572666</v>
      </c>
      <c r="J13" s="20">
        <f>J9+J10+J11+J12</f>
        <v>5499793043.958384</v>
      </c>
      <c r="K13" s="20">
        <f>K9+K10+K11+K12</f>
        <v>5558276748.590944</v>
      </c>
    </row>
    <row r="14" spans="1:11" x14ac:dyDescent="0.25">
      <c r="A14" t="s">
        <v>57</v>
      </c>
      <c r="B14" s="21">
        <f>1/(1+Assumptions!$B$26)^(1-0.5*Assumptions!$B$32)</f>
        <v>0.9574107570131869</v>
      </c>
      <c r="C14" s="21">
        <f>1/(1+Assumptions!$B$26)^(2-0.5*Assumptions!$B$32)</f>
        <v>0.8775965516675347</v>
      </c>
      <c r="D14" s="21">
        <f>1/(1+Assumptions!$B$26)^(3-0.5*Assumptions!$B$32)</f>
        <v>0.8044360290054062</v>
      </c>
      <c r="E14" s="21">
        <f>1/(1+Assumptions!$B$26)^(4-0.5*Assumptions!$B$32)</f>
        <v>0.737374507149543</v>
      </c>
      <c r="F14" s="21">
        <f>1/(1+Assumptions!$B$26)^(5-0.5*Assumptions!$B$32)</f>
        <v>0.675903545079005</v>
      </c>
      <c r="G14" s="21">
        <f>1/(1+Assumptions!$B$26)^(6-0.5*Assumptions!$B$32)</f>
        <v>0.6195570877767221</v>
      </c>
      <c r="H14" s="21">
        <f>1/(1+Assumptions!$B$26)^(7-0.5*Assumptions!$B$32)</f>
        <v>0.5679079327354398</v>
      </c>
      <c r="I14" s="21">
        <f>1/(1+Assumptions!$B$26)^(8-0.5*Assumptions!$B$32)</f>
        <v>0.5205644910321345</v>
      </c>
      <c r="J14" s="21">
        <f>1/(1+Assumptions!$B$26)^(9-0.5*Assumptions!$B$32)</f>
        <v>0.47716781841430084</v>
      </c>
      <c r="K14" s="21">
        <f>1/(1+Assumptions!$B$26)^(10-0.5*Assumptions!$B$32)</f>
        <v>0.43738889388866875</v>
      </c>
    </row>
    <row r="15" spans="1:11" x14ac:dyDescent="0.25">
      <c r="A15" s="19" t="s">
        <v>58</v>
      </c>
      <c r="B15" s="20">
        <f>B13*B14</f>
        <v>3634461408.979516</v>
      </c>
      <c r="C15" s="20">
        <f>C13*C14</f>
        <v>3777053218.1217513</v>
      </c>
      <c r="D15" s="20">
        <f>D13*D14</f>
        <v>3651042046.6556215</v>
      </c>
      <c r="E15" s="20">
        <f>E13*E14</f>
        <v>3508230165.014736</v>
      </c>
      <c r="F15" s="20">
        <f>F13*F14</f>
        <v>3350823691.9982195</v>
      </c>
      <c r="G15" s="20">
        <f>G13*G14</f>
        <v>3181206912.717737</v>
      </c>
      <c r="H15" s="20">
        <f>H13*H14</f>
        <v>3001881388.2965136</v>
      </c>
      <c r="I15" s="20">
        <f>I13*I14</f>
        <v>2815403732.198348</v>
      </c>
      <c r="J15" s="20">
        <f>J13*J14</f>
        <v>2624324248.515769</v>
      </c>
      <c r="K15" s="20">
        <f>K13*K14</f>
        <v>2431128518.9932995</v>
      </c>
    </row>
    <row r="17" spans="1:2" x14ac:dyDescent="0.25">
      <c r="A17" s="22" t="s">
        <v>59</v>
      </c>
      <c r="B17" s="23">
        <f>SUM(B15:K15)</f>
        <v>31975555331.49151</v>
      </c>
    </row>
    <row r="19" spans="1:11" x14ac:dyDescent="0.25">
      <c r="A19" t="s">
        <v>7</v>
      </c>
      <c r="B19" s="9">
        <f>Assumptions!$B$10+($B$20-Assumptions!$B$10)*0/9</f>
        <v>0.020829674531641418</v>
      </c>
      <c r="C19" s="9">
        <f>Assumptions!$B$10+($B$20-Assumptions!$B$10)*1/9</f>
        <v>0.023969107476025625</v>
      </c>
      <c r="D19" s="9">
        <f>Assumptions!$B$10+($B$20-Assumptions!$B$10)*2/9</f>
        <v>0.027108540420409832</v>
      </c>
      <c r="E19" s="9">
        <f>Assumptions!$B$10+($B$20-Assumptions!$B$10)*3/9</f>
        <v>0.03024797336479404</v>
      </c>
      <c r="F19" s="9">
        <f>Assumptions!$B$10+($B$20-Assumptions!$B$10)*4/9</f>
        <v>0.03338740630917825</v>
      </c>
      <c r="G19" s="9">
        <f>Assumptions!$B$10+($B$20-Assumptions!$B$10)*5/9</f>
        <v>0.036526839253562454</v>
      </c>
      <c r="H19" s="9">
        <f>Assumptions!$B$10+($B$20-Assumptions!$B$10)*6/9</f>
        <v>0.03966627219794666</v>
      </c>
      <c r="I19" s="9">
        <f>Assumptions!$B$10+($B$20-Assumptions!$B$10)*7/9</f>
        <v>0.042805705142330876</v>
      </c>
      <c r="J19" s="9">
        <f>Assumptions!$B$10+($B$20-Assumptions!$B$10)*8/9</f>
        <v>0.045945138086715076</v>
      </c>
      <c r="K19" s="9">
        <f>Assumptions!$B$10+($B$20-Assumptions!$B$10)*9/9</f>
        <v>0.04908457103109929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0.04908457103109929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5558276748.590944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6741781613.447863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0.18222619543406127</v>
      </c>
    </row>
    <row r="7" spans="1:2" x14ac:dyDescent="0.25">
      <c r="A7" t="s">
        <v>66</v>
      </c>
      <c r="B7" s="18">
        <f>-MAX(B5,0)*B6</f>
        <v>-1228529213.865911</v>
      </c>
    </row>
    <row r="8" spans="1:2" x14ac:dyDescent="0.25">
      <c r="A8" t="s">
        <v>67</v>
      </c>
      <c r="B8" s="18">
        <f>IF(OR(Assumptions!$B$33=0,Assumptions!B12&lt;=0),B5,MAX(B5+B7,0))</f>
        <v>5513252399.581951</v>
      </c>
    </row>
    <row r="9" spans="1:2" x14ac:dyDescent="0.25">
      <c r="A9" t="s">
        <v>68</v>
      </c>
      <c r="B9" s="18">
        <f>B8*(1+Assumptions!B12)/(Assumptions!B26-Assumptions!B12)</f>
        <v>85692134513.30579</v>
      </c>
    </row>
    <row r="10" spans="1:2" x14ac:dyDescent="0.25">
      <c r="A10" t="s">
        <v>69</v>
      </c>
      <c r="B10" s="18">
        <f>B9/(1+Assumptions!B26)^(10-0.5*Assumptions!B32)</f>
        <v>37480787929.73383</v>
      </c>
    </row>
    <row r="11" spans="1:2" x14ac:dyDescent="0.25">
      <c r="A11" t="s">
        <v>70</v>
      </c>
      <c r="B11" s="18">
        <f>Forecast!B17+B10</f>
        <v>69456343261.22534</v>
      </c>
    </row>
    <row r="12" spans="1:2" x14ac:dyDescent="0.25">
      <c r="A12" t="s">
        <v>71</v>
      </c>
      <c r="B12" s="18">
        <f>-Assumptions!B30</f>
        <v>-8019000000</v>
      </c>
    </row>
    <row r="13" spans="1:2" x14ac:dyDescent="0.25">
      <c r="A13" t="s">
        <v>72</v>
      </c>
      <c r="B13" s="18">
        <f>B11+B12</f>
        <v>61437343261.22534</v>
      </c>
    </row>
    <row r="14" spans="1:2" x14ac:dyDescent="0.25">
      <c r="A14" s="19" t="s">
        <v>73</v>
      </c>
      <c r="B14" s="24">
        <f>B13/Assumptions!B31</f>
        <v>487.21128676625966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9131215195.734097</v>
      </c>
    </row>
    <row r="18" spans="1:2" x14ac:dyDescent="0.25">
      <c r="A18" t="s">
        <v>68</v>
      </c>
      <c r="B18" s="18">
        <f>B17*Assumptions!B13</f>
        <v>182624303914.68195</v>
      </c>
    </row>
    <row r="19" spans="1:2" x14ac:dyDescent="0.25">
      <c r="A19" t="s">
        <v>69</v>
      </c>
      <c r="B19" s="18">
        <f>B18/(1+Assumptions!B26)^(10-0.5*Assumptions!B32)</f>
        <v>79877842286.43082</v>
      </c>
    </row>
    <row r="20" spans="1:2" x14ac:dyDescent="0.25">
      <c r="A20" t="s">
        <v>70</v>
      </c>
      <c r="B20" s="18">
        <f>Forecast!B17+B19</f>
        <v>111853397617.92233</v>
      </c>
    </row>
    <row r="21" spans="1:2" x14ac:dyDescent="0.25">
      <c r="A21" t="s">
        <v>71</v>
      </c>
      <c r="B21" s="18">
        <f>-Assumptions!B30</f>
        <v>-8019000000</v>
      </c>
    </row>
    <row r="22" spans="1:2" x14ac:dyDescent="0.25">
      <c r="A22" t="s">
        <v>72</v>
      </c>
      <c r="B22" s="18">
        <f>B20+B21</f>
        <v>103834397617.92233</v>
      </c>
    </row>
    <row r="23" spans="1:2" x14ac:dyDescent="0.25">
      <c r="A23" s="19" t="s">
        <v>73</v>
      </c>
      <c r="B23" s="25">
        <f>B22/Assumptions!B31</f>
        <v>823.4290056932779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899.82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487.21128676625966</v>
      </c>
    </row>
    <row r="29" spans="1:2" x14ac:dyDescent="0.25">
      <c r="A29" s="19" t="s">
        <v>81</v>
      </c>
      <c r="B29" s="11">
        <f>B28/B26-1</f>
        <v>-0.45854583498226353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0.070946</v>
      </c>
      <c r="B5" s="31">
        <v>674.5569790032158</v>
      </c>
      <c r="C5" s="31">
        <v>695.3012213773609</v>
      </c>
      <c r="D5" s="31">
        <v>721.5498601500332</v>
      </c>
      <c r="E5" s="31">
        <v>755.3193547062258</v>
      </c>
      <c r="F5" s="31">
        <v>799.7481025519975</v>
      </c>
    </row>
    <row r="6" spans="1:6" x14ac:dyDescent="0.25">
      <c r="A6" s="30">
        <v>0.080946</v>
      </c>
      <c r="B6" s="31">
        <v>561.4033808500784</v>
      </c>
      <c r="C6" s="31">
        <v>571.1770058321335</v>
      </c>
      <c r="D6" s="31">
        <v>583.4657371543339</v>
      </c>
      <c r="E6" s="31">
        <v>599.0100960568595</v>
      </c>
      <c r="F6" s="31">
        <v>618.8729479405038</v>
      </c>
    </row>
    <row r="7" spans="1:6" x14ac:dyDescent="0.25">
      <c r="A7" s="30">
        <v>0.090946</v>
      </c>
      <c r="B7" s="31">
        <v>478.17484970433173</v>
      </c>
      <c r="C7" s="31">
        <v>482.0894500074239</v>
      </c>
      <c r="D7" s="32">
        <v>487.2141659100907</v>
      </c>
      <c r="E7" s="31">
        <v>493.846830477564</v>
      </c>
      <c r="F7" s="31">
        <v>502.39174839600736</v>
      </c>
    </row>
    <row r="8" spans="1:6" x14ac:dyDescent="0.25">
      <c r="A8" s="30">
        <v>0.100946</v>
      </c>
      <c r="B8" s="31">
        <v>414.41881717516156</v>
      </c>
      <c r="C8" s="31">
        <v>415.051811032392</v>
      </c>
      <c r="D8" s="31">
        <v>416.27503984935123</v>
      </c>
      <c r="E8" s="31">
        <v>418.2132960653021</v>
      </c>
      <c r="F8" s="31">
        <v>421.02921897580273</v>
      </c>
    </row>
    <row r="9" spans="1:6" x14ac:dyDescent="0.25">
      <c r="A9" s="30">
        <v>0.110946</v>
      </c>
      <c r="B9" s="31">
        <v>364.04084948672266</v>
      </c>
      <c r="C9" s="31">
        <v>362.7892095753652</v>
      </c>
      <c r="D9" s="31">
        <v>361.8163996427683</v>
      </c>
      <c r="E9" s="31">
        <v>361.17408931660265</v>
      </c>
      <c r="F9" s="31">
        <v>360.9275551630658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21499000000</v>
      </c>
      <c r="C5" s="18">
        <v>19850000000</v>
      </c>
      <c r="D5" s="18">
        <v>19930000000</v>
      </c>
      <c r="E5" s="18">
        <v>19065000000</v>
      </c>
      <c r="F5" s="6" t="s">
        <v>91</v>
      </c>
    </row>
    <row r="6" spans="1:6" x14ac:dyDescent="0.25">
      <c r="A6" t="s">
        <v>51</v>
      </c>
      <c r="B6" s="18">
        <v>4634000000</v>
      </c>
      <c r="C6" s="18">
        <v>4052000000</v>
      </c>
      <c r="D6" s="18">
        <v>3813000000</v>
      </c>
      <c r="E6" s="18">
        <v>3075000000</v>
      </c>
      <c r="F6" s="6" t="s">
        <v>92</v>
      </c>
    </row>
    <row r="7" spans="1:6" x14ac:dyDescent="0.25">
      <c r="A7" t="s">
        <v>93</v>
      </c>
      <c r="B7" s="18">
        <v>937000000</v>
      </c>
      <c r="C7" s="18">
        <v>907000000</v>
      </c>
      <c r="D7" s="18">
        <v>927000000</v>
      </c>
      <c r="E7" s="18">
        <v>818000000</v>
      </c>
      <c r="F7" s="6" t="s">
        <v>94</v>
      </c>
    </row>
    <row r="8" spans="1:6" x14ac:dyDescent="0.25">
      <c r="A8" t="s">
        <v>95</v>
      </c>
      <c r="B8" s="18">
        <v>459000000</v>
      </c>
      <c r="C8" s="18">
        <v>435000000</v>
      </c>
      <c r="D8" s="18">
        <v>400000000</v>
      </c>
      <c r="E8" s="18">
        <v>381000000</v>
      </c>
      <c r="F8" s="6" t="s">
        <v>96</v>
      </c>
    </row>
    <row r="9" spans="1:6" x14ac:dyDescent="0.25">
      <c r="A9" t="s">
        <v>97</v>
      </c>
      <c r="B9" s="18">
        <v>296000000</v>
      </c>
      <c r="C9" s="18">
        <v>153000000</v>
      </c>
      <c r="D9" s="18">
        <v>365000000</v>
      </c>
      <c r="E9" s="18">
        <v>-141000000</v>
      </c>
      <c r="F9" s="6" t="s">
        <v>98</v>
      </c>
    </row>
    <row r="10" spans="1:6" x14ac:dyDescent="0.25">
      <c r="A10" t="s">
        <v>99</v>
      </c>
      <c r="B10" s="18">
        <v>8520000000</v>
      </c>
      <c r="C10" s="18">
        <v>9285000000</v>
      </c>
      <c r="D10" s="18">
        <v>10560000000</v>
      </c>
      <c r="E10" s="18">
        <v>12559459000</v>
      </c>
      <c r="F10" s="6" t="s">
        <v>100</v>
      </c>
    </row>
    <row r="11" spans="1:6" x14ac:dyDescent="0.25">
      <c r="A11" t="s">
        <v>101</v>
      </c>
      <c r="B11" s="18">
        <v>501000000</v>
      </c>
      <c r="C11" s="18">
        <v>467000000</v>
      </c>
      <c r="D11" s="18">
        <v>422000000</v>
      </c>
      <c r="E11" s="18">
        <v>475182000</v>
      </c>
      <c r="F11" s="6" t="s">
        <v>102</v>
      </c>
    </row>
    <row r="12" spans="1:6" x14ac:dyDescent="0.25">
      <c r="A12" t="s">
        <v>34</v>
      </c>
      <c r="B12" s="34">
        <v>126100000</v>
      </c>
      <c r="C12" s="34">
        <v>130200000</v>
      </c>
      <c r="D12" s="34">
        <v>130239737</v>
      </c>
      <c r="E12" s="34">
        <v>129822085</v>
      </c>
      <c r="F12" s="6" t="s">
        <v>103</v>
      </c>
    </row>
    <row r="15" spans="1:1" x14ac:dyDescent="0.25">
      <c r="A15" s="19" t="s">
        <v>104</v>
      </c>
    </row>
    <row r="16" ht="38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