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<sst xmlns="http://schemas.openxmlformats.org/spreadsheetml/2006/main" count="112" uniqueCount="100">
  <si>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Koninklijke Philips N.V. (PHIA.AS)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</si>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</sst>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0.00013087047711479727</v>
      </c>
    </row>
    <row r="7" spans="1:2" x14ac:dyDescent="0.25">
      <c r="A7" t="s">
        <v>5</v>
      </c>
      <c r="B7" s="6">
        <v>0.02263520232397055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0.07484251119022445</v>
      </c>
    </row>
    <row r="10" spans="1:2" x14ac:dyDescent="0.25">
      <c r="A10" t="s">
        <v>8</v>
      </c>
      <c r="B10" s="6">
        <v>0.03890641064739027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10.155240046638166</v>
      </c>
    </row>
    <row r="14" spans="1:3" x14ac:dyDescent="0.25">
      <c r="A14" t="s">
        <v>12</v>
      </c>
      <c r="B14" s="6">
        <v>0.08374962415068034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0.9397</v>
      </c>
      <c r="C19" s="8" t="s">
        <v>19</v>
      </c>
    </row>
    <row r="20" spans="1:2" x14ac:dyDescent="0.25">
      <c r="A20" t="s">
        <v>20</v>
      </c>
      <c r="B20" s="10">
        <f>B17+B19*B18</f>
        <v>0.1030805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21112432640</v>
      </c>
    </row>
    <row r="23" spans="1:2" x14ac:dyDescent="0.25">
      <c r="A23" t="s">
        <v>24</v>
      </c>
      <c r="B23" s="11">
        <v>7811000000</v>
      </c>
    </row>
    <row r="24" spans="1:2" x14ac:dyDescent="0.25">
      <c r="A24" t="s">
        <v>25</v>
      </c>
      <c r="B24" s="10">
        <f>B22/(B22+B23)</f>
        <v>0.7299421511540202</v>
      </c>
    </row>
    <row r="25" spans="1:2" x14ac:dyDescent="0.25">
      <c r="A25" t="s">
        <v>26</v>
      </c>
      <c r="B25" s="10">
        <f>1-B24</f>
        <v>0.27005784884597983</v>
      </c>
    </row>
    <row r="26" spans="1:2" x14ac:dyDescent="0.25">
      <c r="A26" t="s">
        <v>27</v>
      </c>
      <c r="B26" s="12">
        <f>B24*B20+B25*B21*(1-B8)</f>
        <v>0.08374962415068034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17834000000</v>
      </c>
      <c r="C29" s="8" t="s">
        <v>30</v>
      </c>
    </row>
    <row r="30" spans="1:2" x14ac:dyDescent="0.25">
      <c r="A30" t="s">
        <v>31</v>
      </c>
      <c r="B30" s="11">
        <v>5017000000</v>
      </c>
    </row>
    <row r="31" spans="1:2" x14ac:dyDescent="0.25">
      <c r="A31" t="s">
        <v>32</v>
      </c>
      <c r="B31" s="13">
        <v>962503000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0.00013087047711479727</v>
      </c>
      <c r="C5" s="10">
        <f>Assumptions!B6</f>
        <v>0.00013087047711479727</v>
      </c>
      <c r="D5" s="10">
        <f>Assumptions!B6</f>
        <v>0.00013087047711479727</v>
      </c>
      <c r="E5" s="10">
        <f>Assumptions!B6</f>
        <v>0.00013087047711479727</v>
      </c>
      <c r="F5" s="10">
        <f>Assumptions!B6</f>
        <v>0.00013087047711479727</v>
      </c>
    </row>
    <row r="6" spans="1:6" x14ac:dyDescent="0.25">
      <c r="A6" t="s">
        <v>43</v>
      </c>
      <c r="B6" s="18">
        <f>Assumptions!B29*(1+B5)</f>
        <v>17836333944.088867</v>
      </c>
      <c r="C6" s="18">
        <f>B6*(1+C5)</f>
        <v>17838668193.62211</v>
      </c>
      <c r="D6" s="18">
        <f>C6*(1+D5)</f>
        <v>17841002748.6397</v>
      </c>
      <c r="E6" s="18">
        <f>D6*(1+E5)</f>
        <v>17843337609.18162</v>
      </c>
      <c r="F6" s="18">
        <f>E6*(1+F5)</f>
        <v>17845672775.287857</v>
      </c>
    </row>
    <row r="7" spans="1:6" x14ac:dyDescent="0.25">
      <c r="A7" t="s">
        <v>5</v>
      </c>
      <c r="B7" s="10">
        <f>Assumptions!B7</f>
        <v>0.02263520232397055</v>
      </c>
      <c r="C7" s="10">
        <f>Assumptions!B7</f>
        <v>0.02263520232397055</v>
      </c>
      <c r="D7" s="10">
        <f>Assumptions!B7</f>
        <v>0.02263520232397055</v>
      </c>
      <c r="E7" s="10">
        <f>Assumptions!B7</f>
        <v>0.02263520232397055</v>
      </c>
      <c r="F7" s="10">
        <f>Assumptions!B7</f>
        <v>0.02263520232397055</v>
      </c>
    </row>
    <row r="8" spans="1:6" x14ac:dyDescent="0.25">
      <c r="A8" t="s">
        <v>44</v>
      </c>
      <c r="B8" s="18">
        <f>B6*B7</f>
        <v>403729027.5423551</v>
      </c>
      <c r="C8" s="18">
        <f>C6*C7</f>
        <v>403781863.75281465</v>
      </c>
      <c r="D8" s="18">
        <f>D6*D7</f>
        <v>403834706.87797433</v>
      </c>
      <c r="E8" s="18">
        <f>E6*E7</f>
        <v>403887556.9187389</v>
      </c>
      <c r="F8" s="18">
        <f>F6*F7</f>
        <v>403940413.87601364</v>
      </c>
    </row>
    <row r="9" spans="1:6" x14ac:dyDescent="0.25">
      <c r="A9" t="s">
        <v>45</v>
      </c>
      <c r="B9" s="18">
        <f>B8*(1-Assumptions!B8)</f>
        <v>302796770.65676636</v>
      </c>
      <c r="C9" s="18">
        <f>C8*(1-Assumptions!B8)</f>
        <v>302836397.81461096</v>
      </c>
      <c r="D9" s="18">
        <f>D8*(1-Assumptions!B8)</f>
        <v>302876030.15848076</v>
      </c>
      <c r="E9" s="18">
        <f>E8*(1-Assumptions!B8)</f>
        <v>302915667.6890542</v>
      </c>
      <c r="F9" s="18">
        <f>F8*(1-Assumptions!B8)</f>
        <v>302955310.4070102</v>
      </c>
    </row>
    <row r="10" spans="1:6" x14ac:dyDescent="0.25">
      <c r="A10" t="s">
        <v>46</v>
      </c>
      <c r="B10" s="18">
        <f>B6*Assumptions!B9</f>
        <v>1334916022.8030512</v>
      </c>
      <c r="C10" s="18">
        <f>C6*Assumptions!B9</f>
        <v>1335090723.8998635</v>
      </c>
      <c r="D10" s="18">
        <f>D6*Assumptions!B9</f>
        <v>1335265447.8598921</v>
      </c>
      <c r="E10" s="18">
        <f>E6*Assumptions!B9</f>
        <v>1335440194.6861281</v>
      </c>
      <c r="F10" s="18">
        <f>F6*Assumptions!B9</f>
        <v>1335614964.3815653</v>
      </c>
    </row>
    <row r="11" spans="1:6" x14ac:dyDescent="0.25">
      <c r="A11" t="s">
        <v>47</v>
      </c>
      <c r="B11" s="18">
        <f>-B6*Assumptions!B10</f>
        <v>-693947732.8727076</v>
      </c>
      <c r="C11" s="18">
        <f>-C6*Assumptions!B10</f>
        <v>-694038550.1436013</v>
      </c>
      <c r="D11" s="18">
        <f>-D6*Assumptions!B10</f>
        <v>-694129379.2997948</v>
      </c>
      <c r="E11" s="18">
        <f>-E6*Assumptions!B10</f>
        <v>-694220220.342843</v>
      </c>
      <c r="F11" s="18">
        <f>-F6*Assumptions!B10</f>
        <v>-694311073.2743021</v>
      </c>
    </row>
    <row r="12" spans="1:6" x14ac:dyDescent="0.25">
      <c r="A12" t="s">
        <v>48</v>
      </c>
      <c r="B12" s="18">
        <f>-(B6-Assumptions!B29)*Assumptions!B11</f>
        <v>2333944.0888671875</v>
      </c>
      <c r="C12" s="18">
        <f>-(C6-B6)*Assumptions!B11</f>
        <v>2334249.533241272</v>
      </c>
      <c r="D12" s="18">
        <f>-(D6-C6)*Assumptions!B11</f>
        <v>2334555.017593384</v>
      </c>
      <c r="E12" s="18">
        <f>-(E6-D6)*Assumptions!B11</f>
        <v>2334860.5419197083</v>
      </c>
      <c r="F12" s="18">
        <f>-(F6-E6)*Assumptions!B11</f>
        <v>2335166.106235504</v>
      </c>
    </row>
    <row r="13" spans="1:6" x14ac:dyDescent="0.25">
      <c r="A13" s="19" t="s">
        <v>49</v>
      </c>
      <c r="B13" s="20">
        <f>B9+B10+B11+B12</f>
        <v>946099004.6759772</v>
      </c>
      <c r="C13" s="20">
        <f>C9+C10+C11+C12</f>
        <v>946222821.1041144</v>
      </c>
      <c r="D13" s="20">
        <f>D9+D10+D11+D12</f>
        <v>946346653.7361716</v>
      </c>
      <c r="E13" s="20">
        <f>E9+E10+E11+E12</f>
        <v>946470502.574259</v>
      </c>
      <c r="F13" s="20">
        <f>F9+F10+F11+F12</f>
        <v>946594367.620509</v>
      </c>
    </row>
    <row r="14" spans="1:6" x14ac:dyDescent="0.25">
      <c r="A14" t="s">
        <v>50</v>
      </c>
      <c r="B14" s="21">
        <f>1/(1+Assumptions!$B$26)^(1-0.5*Assumptions!$B$32)</f>
        <v>0.9605843794236301</v>
      </c>
      <c r="C14" s="21">
        <f>1/(1+Assumptions!$B$26)^(2-0.5*Assumptions!$B$32)</f>
        <v>0.8863526759480326</v>
      </c>
      <c r="D14" s="21">
        <f>1/(1+Assumptions!$B$26)^(3-0.5*Assumptions!$B$32)</f>
        <v>0.8178574240730695</v>
      </c>
      <c r="E14" s="21">
        <f>1/(1+Assumptions!$B$26)^(4-0.5*Assumptions!$B$32)</f>
        <v>0.7546553242996629</v>
      </c>
      <c r="F14" s="21">
        <f>1/(1+Assumptions!$B$26)^(5-0.5*Assumptions!$B$32)</f>
        <v>0.6963373342722734</v>
      </c>
    </row>
    <row r="15" spans="1:6" x14ac:dyDescent="0.25">
      <c r="A15" s="19" t="s">
        <v>51</v>
      </c>
      <c r="B15" s="20">
        <f>B13*B14</f>
        <v>908807925.2799877</v>
      </c>
      <c r="C15" s="20">
        <f>C13*C14</f>
        <v>838687129.5287284</v>
      </c>
      <c r="D15" s="20">
        <f>D13*D14</f>
        <v>773976636.5048344</v>
      </c>
      <c r="E15" s="20">
        <f>E13*E14</f>
        <v>714259004.0602424</v>
      </c>
      <c r="F15" s="20">
        <f>F13*F14</f>
        <v>659148998.5860137</v>
      </c>
    </row>
    <row r="17" spans="1:2" x14ac:dyDescent="0.25">
      <c r="A17" s="22" t="s">
        <v>52</v>
      </c>
      <c r="B17" s="23">
        <f>SUM(B15:F15)</f>
        <v>3894879693.9598064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946594367.620509</v>
      </c>
    </row>
    <row r="5" spans="1:2" x14ac:dyDescent="0.25">
      <c r="A5" t="s">
        <v>56</v>
      </c>
      <c r="B5" s="18">
        <f>IF(Assumptions!$B$33=0,B4,B4-Forecast!F11-Forecast!F10-Forecast!F12)</f>
        <v>802146619.8917856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0.29850880232036137</v>
      </c>
    </row>
    <row r="7" spans="1:2" x14ac:dyDescent="0.25">
      <c r="A7" t="s">
        <v>58</v>
      </c>
      <c r="B7" s="18">
        <f>-MAX(Forecast!F9,0)*B6</f>
        <v>-239447826.78922307</v>
      </c>
    </row>
    <row r="8" spans="1:2" x14ac:dyDescent="0.25">
      <c r="A8" t="s">
        <v>59</v>
      </c>
      <c r="B8" s="18">
        <f>IF(OR(Assumptions!$B$33=0,Assumptions!B12&lt;=0),B5,MAX(B5+B7,0))</f>
        <v>562698793.1025625</v>
      </c>
    </row>
    <row r="9" spans="1:2" x14ac:dyDescent="0.25">
      <c r="A9" t="s">
        <v>60</v>
      </c>
      <c r="B9" s="18">
        <f>B8*(1+Assumptions!B12)/(Assumptions!B26-Assumptions!B12)</f>
        <v>9817360898.358147</v>
      </c>
    </row>
    <row r="10" spans="1:2" x14ac:dyDescent="0.25">
      <c r="A10" t="s">
        <v>61</v>
      </c>
      <c r="B10" s="18">
        <f>B9/(1+Assumptions!B26)^(5-0.5*Assumptions!B32)</f>
        <v>6836194917.551563</v>
      </c>
    </row>
    <row r="11" spans="1:2" x14ac:dyDescent="0.25">
      <c r="A11" t="s">
        <v>62</v>
      </c>
      <c r="B11" s="18">
        <f>Forecast!B17+B10</f>
        <v>10731074611.51137</v>
      </c>
    </row>
    <row r="12" spans="1:2" x14ac:dyDescent="0.25">
      <c r="A12" t="s">
        <v>63</v>
      </c>
      <c r="B12" s="18">
        <f>-Assumptions!B30</f>
        <v>-5017000000</v>
      </c>
    </row>
    <row r="13" spans="1:2" x14ac:dyDescent="0.25">
      <c r="A13" t="s">
        <v>64</v>
      </c>
      <c r="B13" s="18">
        <f>B11+B12</f>
        <v>5714074611.51137</v>
      </c>
    </row>
    <row r="14" spans="1:2" x14ac:dyDescent="0.25">
      <c r="A14" s="19" t="s">
        <v>65</v>
      </c>
      <c r="B14" s="24">
        <f>B13/Assumptions!B31</f>
        <v>5.936682391131632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1739555378.2575788</v>
      </c>
    </row>
    <row r="18" spans="1:2" x14ac:dyDescent="0.25">
      <c r="A18" t="s">
        <v>60</v>
      </c>
      <c r="B18" s="18">
        <f>B17*Assumptions!B13</f>
        <v>17665602440.626167</v>
      </c>
    </row>
    <row r="19" spans="1:2" x14ac:dyDescent="0.25">
      <c r="A19" t="s">
        <v>61</v>
      </c>
      <c r="B19" s="18">
        <f>B18/(1+Assumptions!B26)^(5-0.5*Assumptions!B32)</f>
        <v>12301218511.819393</v>
      </c>
    </row>
    <row r="20" spans="1:2" x14ac:dyDescent="0.25">
      <c r="A20" t="s">
        <v>62</v>
      </c>
      <c r="B20" s="18">
        <f>Forecast!B17+B19</f>
        <v>16196098205.7792</v>
      </c>
    </row>
    <row r="21" spans="1:2" x14ac:dyDescent="0.25">
      <c r="A21" t="s">
        <v>63</v>
      </c>
      <c r="B21" s="18">
        <f>-Assumptions!B30</f>
        <v>-5017000000</v>
      </c>
    </row>
    <row r="22" spans="1:2" x14ac:dyDescent="0.25">
      <c r="A22" t="s">
        <v>64</v>
      </c>
      <c r="B22" s="18">
        <f>B20+B21</f>
        <v>11179098205.7792</v>
      </c>
    </row>
    <row r="23" spans="1:2" x14ac:dyDescent="0.25">
      <c r="A23" s="19" t="s">
        <v>65</v>
      </c>
      <c r="B23" s="25">
        <f>B22/Assumptions!B31</f>
        <v>11.61461128513802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5.936682391131632</v>
      </c>
    </row>
    <row r="29" spans="1:2" x14ac:dyDescent="0.25">
      <c r="A29" s="19" t="s">
        <v>73</v>
      </c>
      <c r="B29" s="12">
        <f>B28/B26-1</f>
        <v>-0.7251535930031652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0.06375</v>
      </c>
      <c r="B5" s="31">
        <v>9.06341827543433</v>
      </c>
      <c r="C5" s="31">
        <v>9.112913511767026</v>
      </c>
      <c r="D5" s="31">
        <v>9.16240874809972</v>
      </c>
      <c r="E5" s="31">
        <v>9.211903984432416</v>
      </c>
      <c r="F5" s="31">
        <v>9.261399220765107</v>
      </c>
    </row>
    <row r="6" spans="1:6" x14ac:dyDescent="0.25">
      <c r="A6" s="30">
        <v>0.07375</v>
      </c>
      <c r="B6" s="31">
        <v>7.250300045372898</v>
      </c>
      <c r="C6" s="31">
        <v>7.291320016456514</v>
      </c>
      <c r="D6" s="31">
        <v>7.332339987540128</v>
      </c>
      <c r="E6" s="31">
        <v>7.373359958623745</v>
      </c>
      <c r="F6" s="31">
        <v>7.41437992970736</v>
      </c>
    </row>
    <row r="7" spans="1:6" x14ac:dyDescent="0.25">
      <c r="A7" s="30">
        <v>0.08375</v>
      </c>
      <c r="B7" s="31">
        <v>5.867343709012016</v>
      </c>
      <c r="C7" s="31">
        <v>5.901989928903425</v>
      </c>
      <c r="D7" s="32">
        <v>5.936636148794834</v>
      </c>
      <c r="E7" s="31">
        <v>5.971282368686241</v>
      </c>
      <c r="F7" s="31">
        <v>6.005928588577648</v>
      </c>
    </row>
    <row r="8" spans="1:6" x14ac:dyDescent="0.25">
      <c r="A8" s="30">
        <v>0.09375</v>
      </c>
      <c r="B8" s="31">
        <v>4.77703438737602</v>
      </c>
      <c r="C8" s="31">
        <v>4.8067318330658155</v>
      </c>
      <c r="D8" s="31">
        <v>4.83642927875561</v>
      </c>
      <c r="E8" s="31">
        <v>4.866126724445402</v>
      </c>
      <c r="F8" s="31">
        <v>4.895824170135198</v>
      </c>
    </row>
    <row r="9" spans="1:6" x14ac:dyDescent="0.25">
      <c r="A9" s="30">
        <v>0.10375</v>
      </c>
      <c r="B9" s="31">
        <v>3.8948668397036665</v>
      </c>
      <c r="C9" s="31">
        <v>3.9206250295810143</v>
      </c>
      <c r="D9" s="31">
        <v>3.9463832194583603</v>
      </c>
      <c r="E9" s="31">
        <v>3.972141409335708</v>
      </c>
      <c r="F9" s="31">
        <v>3.9978995992130524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17834000000</v>
      </c>
      <c r="C5" s="18">
        <v>18021000000</v>
      </c>
      <c r="D5" s="18">
        <v>18169000000</v>
      </c>
      <c r="E5" s="18">
        <v>17827000000</v>
      </c>
      <c r="F5" s="8" t="s">
        <v>84</v>
      </c>
    </row>
    <row r="6" spans="1:6" x14ac:dyDescent="0.25">
      <c r="A6" t="s">
        <v>44</v>
      </c>
      <c r="B6" s="18">
        <v>1449000000</v>
      </c>
      <c r="C6" s="18">
        <v>513000000</v>
      </c>
      <c r="D6" s="18">
        <v>-168000000</v>
      </c>
      <c r="E6" s="18">
        <v>-177000000</v>
      </c>
      <c r="F6" s="8" t="s">
        <v>85</v>
      </c>
    </row>
    <row r="7" spans="1:6" x14ac:dyDescent="0.25">
      <c r="A7" t="s">
        <v>86</v>
      </c>
      <c r="B7" s="18">
        <v>1124000000</v>
      </c>
      <c r="C7" s="18">
        <v>1389000000</v>
      </c>
      <c r="D7" s="18">
        <v>1261000000</v>
      </c>
      <c r="E7" s="18">
        <v>1602000000</v>
      </c>
      <c r="F7" s="8" t="s">
        <v>87</v>
      </c>
    </row>
    <row r="8" spans="1:6" x14ac:dyDescent="0.25">
      <c r="A8" t="s">
        <v>88</v>
      </c>
      <c r="B8" s="18">
        <v>668000000</v>
      </c>
      <c r="C8" s="18">
        <v>676000000</v>
      </c>
      <c r="D8" s="18">
        <v>644000000</v>
      </c>
      <c r="E8" s="18">
        <v>806000000</v>
      </c>
      <c r="F8" s="8" t="s">
        <v>89</v>
      </c>
    </row>
    <row r="9" spans="1:6" x14ac:dyDescent="0.25">
      <c r="A9" t="s">
        <v>90</v>
      </c>
      <c r="B9" s="18">
        <v>1232000000</v>
      </c>
      <c r="C9" s="18">
        <v>94000000</v>
      </c>
      <c r="D9" s="18">
        <v>-1264000000</v>
      </c>
      <c r="E9" s="18">
        <v>1144000000</v>
      </c>
      <c r="F9" s="8" t="s">
        <v>91</v>
      </c>
    </row>
    <row r="10" spans="1:6" x14ac:dyDescent="0.25">
      <c r="A10" t="s">
        <v>92</v>
      </c>
      <c r="B10" s="18">
        <v>7811000000</v>
      </c>
      <c r="C10" s="18">
        <v>7491000000</v>
      </c>
      <c r="D10" s="18">
        <v>7293000000</v>
      </c>
      <c r="E10" s="18">
        <v>7342000000</v>
      </c>
      <c r="F10" s="8" t="s">
        <v>93</v>
      </c>
    </row>
    <row r="11" spans="1:6" x14ac:dyDescent="0.25">
      <c r="A11" t="s">
        <v>94</v>
      </c>
      <c r="B11" s="18">
        <v>2794000000</v>
      </c>
      <c r="C11" s="18">
        <v>2401000000</v>
      </c>
      <c r="D11" s="18">
        <v>1872000000</v>
      </c>
      <c r="E11" s="18">
        <v>1183000000</v>
      </c>
      <c r="F11" s="8" t="s">
        <v>95</v>
      </c>
    </row>
    <row r="12" spans="1:6" x14ac:dyDescent="0.25">
      <c r="A12" t="s">
        <v>32</v>
      </c>
      <c r="B12" s="34">
        <v>962503000</v>
      </c>
      <c r="C12" s="34">
        <v>933371000</v>
      </c>
      <c r="D12" s="34">
        <v>948785751</v>
      </c>
      <c r="E12" s="34">
        <v>952457436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