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<sst xmlns="http://schemas.openxmlformats.org/spreadsheetml/2006/main" count="121" uniqueCount="108">
  <si>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PulteGroup, Inc. (PHM)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</si>
  <si>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</si>
  <si>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</si>
  <si>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</si>
  <si>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</si>
  <si>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</si>
  <si>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</si>
  <si>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</si>
  <si>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</si>
  <si>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</si>
  <si>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</si>
  <si>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</si>
  <si>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</si>
  <si>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</si>
  <si>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</si>
  <si>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</si>
  <si>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</si>
  <si>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</si>
  <si>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</si>
  <si>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</si>
  <si>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</si>
  <si>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</si>
  <si>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</si>
  <si>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</si>
  <si>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4923.3x interest cover. Book interest / average debt was lower, at 0.0%.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</si>
  <si>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</si>
  <si>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</si>
  <si>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</si>
  <si>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</si>
  <si>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</si>
  <si>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</si>
  <si>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</si>
  <si>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</si>
  <si>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</si>
  <si>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</si>
  <si>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</si>
  <si>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</si>
  <si>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</si>
  <si>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</si>
  <si>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</si>
  <si>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</si>
  <si>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</si>
  <si>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</si>
  <si>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</si>
  <si>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</si>
  <si>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</si>
  <si>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</si>
  <si>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</si>
  <si>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</si>
  <si>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</si>
  <si>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</si>
  <si>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</si>
  <si>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</si>
  <si>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</si>
  <si>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</si>
  <si>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</si>
  <si>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</si>
  <si>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</si>
  <si>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</si>
  <si>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</si>
  <si>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</si>
  <si>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</si>
  <si>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</si>
  <si>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</si>
  <si>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</si>
  <si>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</si>
  <si>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</si>
  <si>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</si>
  <si>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</si>
  <si>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</si>
  <si>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</si>
  <si>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</si>
  <si>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</si>
  <si>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</si>
  <si>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</si>
  <si>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</si>
  <si>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</si>
  <si>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</si>
  <si>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</si>
  <si>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</si>
  <si>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</si>
  <si>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</si>
  <si>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</si>
  <si>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</si>
  <si>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</si>
  <si>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</si>
  <si>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</si>
  <si>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</si>
  <si>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</si>
  <si>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</si>
  <si>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</si>
  <si>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</si>
  <si>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</si>
  <si>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</si>
  <si>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</si>
  <si>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</si>
  <si>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</si>
  <si>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</si>
  <si>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</si>
  <si>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</si>
  <si>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</si>
  <si>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</si>
  <si>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</si>
  <si>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</si>
  <si>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</si>
  <si>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0.66%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</si>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</sst>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-0.10308719472609473</v>
      </c>
    </row>
    <row r="7" spans="1:2" x14ac:dyDescent="0.25">
      <c r="A7" t="s">
        <v>4</v>
      </c>
      <c r="B7" s="5">
        <v>0.20383692498954345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0.005232643554642337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7.590659504576056</v>
      </c>
    </row>
    <row r="14" spans="1:3" x14ac:dyDescent="0.25">
      <c r="A14" t="s">
        <v>12</v>
      </c>
      <c r="B14" s="5">
        <v>0.21213308334344302</v>
      </c>
      <c r="C14" s="6" t="s">
        <v>13</v>
      </c>
    </row>
    <row r="15" spans="1:3" x14ac:dyDescent="0.25">
      <c r="A15" t="s">
        <v>14</v>
      </c>
      <c r="B15" s="5">
        <v>0.005232643554642337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1.10988</v>
      </c>
      <c r="C19" s="6" t="s">
        <v>21</v>
      </c>
    </row>
    <row r="20" spans="1:2" x14ac:dyDescent="0.25">
      <c r="A20" t="s">
        <v>22</v>
      </c>
      <c r="B20" s="9">
        <f>B17+B19*B18</f>
        <v>0.095887924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23761266688</v>
      </c>
    </row>
    <row r="23" spans="1:2" x14ac:dyDescent="0.25">
      <c r="A23" t="s">
        <v>26</v>
      </c>
      <c r="B23" s="10">
        <v>2296679000</v>
      </c>
    </row>
    <row r="24" spans="1:2" x14ac:dyDescent="0.25">
      <c r="A24" t="s">
        <v>27</v>
      </c>
      <c r="B24" s="9">
        <f>B22/(B22+B23)</f>
        <v>0.9118626223456422</v>
      </c>
    </row>
    <row r="25" spans="1:2" x14ac:dyDescent="0.25">
      <c r="A25" t="s">
        <v>28</v>
      </c>
      <c r="B25" s="9">
        <f>1-B24</f>
        <v>0.0881373776543578</v>
      </c>
    </row>
    <row r="26" spans="1:2" x14ac:dyDescent="0.25">
      <c r="A26" t="s">
        <v>29</v>
      </c>
      <c r="B26" s="11">
        <f>B24*B20+B25*B21*(1-B8)</f>
        <v>0.09112274812060679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17311953000</v>
      </c>
      <c r="C29" s="6" t="s">
        <v>32</v>
      </c>
    </row>
    <row r="30" spans="1:2" x14ac:dyDescent="0.25">
      <c r="A30" t="s">
        <v>33</v>
      </c>
      <c r="B30" s="10">
        <v>-297855000</v>
      </c>
    </row>
    <row r="31" spans="1:2" x14ac:dyDescent="0.25">
      <c r="A31" t="s">
        <v>34</v>
      </c>
      <c r="B31" s="12">
        <v>199537000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-0.10308719472609473</v>
      </c>
      <c r="C5" s="5">
        <v>0.012177782991758646</v>
      </c>
      <c r="D5" s="5">
        <v>0.013780560117788814</v>
      </c>
      <c r="E5" s="5">
        <v>0.015383337243818984</v>
      </c>
      <c r="F5" s="5">
        <v>0.016986114369849155</v>
      </c>
      <c r="G5" s="5">
        <v>0.018588891495879323</v>
      </c>
      <c r="H5" s="5">
        <v>0.020191668621909492</v>
      </c>
      <c r="I5" s="5">
        <v>0.021794445747939664</v>
      </c>
      <c r="J5" s="5">
        <v>0.023397222873969833</v>
      </c>
      <c r="K5" s="5">
        <v>0.025</v>
      </c>
    </row>
    <row r="6" spans="1:11" x14ac:dyDescent="0.25">
      <c r="A6" t="s">
        <v>50</v>
      </c>
      <c r="B6" s="18">
        <f>Assumptions!B29*(1+B5)</f>
        <v>15527312330</v>
      </c>
      <c r="C6" s="18">
        <f>B6*(1+C5)</f>
        <v>15716400569.999998</v>
      </c>
      <c r="D6" s="18">
        <f>C6*(1+D5)</f>
        <v>15932981372.890133</v>
      </c>
      <c r="E6" s="18">
        <f>D6*(1+E5)</f>
        <v>16178083798.648788</v>
      </c>
      <c r="F6" s="18">
        <f>E6*(1+F5)</f>
        <v>16452886580.337639</v>
      </c>
      <c r="G6" s="18">
        <f>F6*(1+G5)</f>
        <v>16758727503.773546</v>
      </c>
      <c r="H6" s="18">
        <f>G6*(1+H5)</f>
        <v>17097114176.05462</v>
      </c>
      <c r="I6" s="18">
        <f>H6*(1+I5)</f>
        <v>17469736303.410976</v>
      </c>
      <c r="J6" s="18">
        <f>I6*(1+J5)</f>
        <v>17878479617.251366</v>
      </c>
      <c r="K6" s="18">
        <f>J6*(1+K5)</f>
        <v>18325441607.682648</v>
      </c>
    </row>
    <row r="7" spans="1:11" x14ac:dyDescent="0.25">
      <c r="A7" t="s">
        <v>4</v>
      </c>
      <c r="B7" s="9">
        <f>Assumptions!B7</f>
        <v>0.20383692498954345</v>
      </c>
      <c r="C7" s="9">
        <f>Assumptions!B7</f>
        <v>0.20383692498954345</v>
      </c>
      <c r="D7" s="9">
        <f>Assumptions!B7</f>
        <v>0.20383692498954345</v>
      </c>
      <c r="E7" s="9">
        <f>Assumptions!B7</f>
        <v>0.20383692498954345</v>
      </c>
      <c r="F7" s="9">
        <f>Assumptions!B7</f>
        <v>0.20383692498954345</v>
      </c>
      <c r="G7" s="9">
        <f>Assumptions!B7</f>
        <v>0.20383692498954345</v>
      </c>
      <c r="H7" s="9">
        <f>Assumptions!B7</f>
        <v>0.20383692498954345</v>
      </c>
      <c r="I7" s="9">
        <f>Assumptions!B7</f>
        <v>0.20383692498954345</v>
      </c>
      <c r="J7" s="9">
        <f>Assumptions!B7</f>
        <v>0.20383692498954345</v>
      </c>
      <c r="K7" s="9">
        <f>Assumptions!B7</f>
        <v>0.20383692498954345</v>
      </c>
    </row>
    <row r="8" spans="1:11" x14ac:dyDescent="0.25">
      <c r="A8" t="s">
        <v>51</v>
      </c>
      <c r="B8" s="18">
        <f>B6*B7</f>
        <v>3165039598.6994233</v>
      </c>
      <c r="C8" s="18">
        <f>C6*C7</f>
        <v>3203582764.0927076</v>
      </c>
      <c r="D8" s="18">
        <f>D6*D7</f>
        <v>3247729928.965599</v>
      </c>
      <c r="E8" s="18">
        <f>E6*E7</f>
        <v>3297690853.7397213</v>
      </c>
      <c r="F8" s="18">
        <f>F6*F7</f>
        <v>3353705807.737749</v>
      </c>
      <c r="G8" s="18">
        <f>G6*G7</f>
        <v>3416047481.106887</v>
      </c>
      <c r="H8" s="18">
        <f>H6*H7</f>
        <v>3485023179.842106</v>
      </c>
      <c r="I8" s="18">
        <f>I6*I7</f>
        <v>3560977328.4654875</v>
      </c>
      <c r="J8" s="18">
        <f>J6*J7</f>
        <v>3644294308.668748</v>
      </c>
      <c r="K8" s="18">
        <f>K6*K7</f>
        <v>3735401666.3854666</v>
      </c>
    </row>
    <row r="9" spans="1:11" x14ac:dyDescent="0.25">
      <c r="A9" t="s">
        <v>52</v>
      </c>
      <c r="B9" s="18">
        <f>B8*(1-Assumptions!B8)</f>
        <v>2500381282.9725447</v>
      </c>
      <c r="C9" s="18">
        <f>C8*(1-Assumptions!B8)</f>
        <v>2530830383.6332393</v>
      </c>
      <c r="D9" s="18">
        <f>D8*(1-Assumptions!B8)</f>
        <v>2565706643.8828235</v>
      </c>
      <c r="E9" s="18">
        <f>E8*(1-Assumptions!B8)</f>
        <v>2605175774.45438</v>
      </c>
      <c r="F9" s="18">
        <f>F8*(1-Assumptions!B8)</f>
        <v>2649427588.112822</v>
      </c>
      <c r="G9" s="18">
        <f>G8*(1-Assumptions!B8)</f>
        <v>2698677510.074441</v>
      </c>
      <c r="H9" s="18">
        <f>H8*(1-Assumptions!B8)</f>
        <v>2753168312.075264</v>
      </c>
      <c r="I9" s="18">
        <f>I8*(1-Assumptions!B8)</f>
        <v>2813172089.4877353</v>
      </c>
      <c r="J9" s="18">
        <f>J8*(1-Assumptions!B8)</f>
        <v>2878992503.848311</v>
      </c>
      <c r="K9" s="18">
        <f>K8*(1-Assumptions!B8)</f>
        <v>2950967316.4445186</v>
      </c>
    </row>
    <row r="10" spans="1:11" x14ac:dyDescent="0.25">
      <c r="A10" t="s">
        <v>53</v>
      </c>
      <c r="B10" s="18">
        <f>B6*Assumptions!B9</f>
        <v>81248890.78449298</v>
      </c>
      <c r="C10" s="18">
        <f>C6*Assumptions!B9</f>
        <v>82238322.14478764</v>
      </c>
      <c r="D10" s="18">
        <f>D6*Assumptions!B9</f>
        <v>83371612.28708996</v>
      </c>
      <c r="E10" s="18">
        <f>E6*Assumptions!B9</f>
        <v>84654145.9154632</v>
      </c>
      <c r="F10" s="18">
        <f>F6*Assumptions!B9</f>
        <v>86092090.91986515</v>
      </c>
      <c r="G10" s="18">
        <f>G6*Assumptions!B9</f>
        <v>87692447.4566279</v>
      </c>
      <c r="H10" s="18">
        <f>H6*Assumptions!B9</f>
        <v>89463104.29631634</v>
      </c>
      <c r="I10" s="18">
        <f>I6*Assumptions!B9</f>
        <v>91412903.06934468</v>
      </c>
      <c r="J10" s="18">
        <f>J6*Assumptions!B9</f>
        <v>93551711.13601474</v>
      </c>
      <c r="K10" s="18">
        <f>K6*Assumptions!B9</f>
        <v>95890503.9144151</v>
      </c>
    </row>
    <row r="11" spans="1:11" x14ac:dyDescent="0.25">
      <c r="A11" t="s">
        <v>54</v>
      </c>
      <c r="B11" s="18">
        <f>-B6*B19</f>
        <v>-155273123.3</v>
      </c>
      <c r="C11" s="18">
        <f>-C6*C19</f>
        <v>-181978901.54533127</v>
      </c>
      <c r="D11" s="18">
        <f>-D6*D19</f>
        <v>-209643531.7475904</v>
      </c>
      <c r="E11" s="18">
        <f>-E6*E19</f>
        <v>-238412404.35292935</v>
      </c>
      <c r="F11" s="18">
        <f>-F6*F19</f>
        <v>-268439851.02615315</v>
      </c>
      <c r="G11" s="18">
        <f>-G6*G19</f>
        <v>-299890494.1031265</v>
      </c>
      <c r="H11" s="18">
        <f>-H6*H19</f>
        <v>-332940711.9473918</v>
      </c>
      <c r="I11" s="18">
        <f>-I6*I19</f>
        <v>-367780238.09739304</v>
      </c>
      <c r="J11" s="18">
        <f>-J6*J19</f>
        <v>-404613914.02884024</v>
      </c>
      <c r="K11" s="18">
        <f>-K6*K19</f>
        <v>-443663617.6049031</v>
      </c>
    </row>
    <row r="12" spans="1:11" x14ac:dyDescent="0.25">
      <c r="A12" t="s">
        <v>55</v>
      </c>
      <c r="B12" s="18">
        <f>-(B6-Assumptions!B29)*Assumptions!B11</f>
        <v>892320335</v>
      </c>
      <c r="C12" s="18">
        <f>-(C6-B6)*Assumptions!B11</f>
        <v>-94544119.99999905</v>
      </c>
      <c r="D12" s="18">
        <f>-(D6-C6)*Assumptions!B11</f>
        <v>-108290401.4450674</v>
      </c>
      <c r="E12" s="18">
        <f>-(E6-D6)*Assumptions!B11</f>
        <v>-122551212.87932777</v>
      </c>
      <c r="F12" s="18">
        <f>-(F6-E6)*Assumptions!B11</f>
        <v>-137401390.8444252</v>
      </c>
      <c r="G12" s="18">
        <f>-(G6-F6)*Assumptions!B11</f>
        <v>-152920461.71795368</v>
      </c>
      <c r="H12" s="18">
        <f>-(H6-G6)*Assumptions!B11</f>
        <v>-169193336.14053726</v>
      </c>
      <c r="I12" s="18">
        <f>-(I6-H6)*Assumptions!B11</f>
        <v>-186311063.67817783</v>
      </c>
      <c r="J12" s="18">
        <f>-(J6-I6)*Assumptions!B11</f>
        <v>-204371656.92019463</v>
      </c>
      <c r="K12" s="18">
        <f>-(K6-J6)*Assumptions!B11</f>
        <v>-223480995.21564102</v>
      </c>
    </row>
    <row r="13" spans="1:11" x14ac:dyDescent="0.25">
      <c r="A13" s="19" t="s">
        <v>56</v>
      </c>
      <c r="B13" s="20">
        <f>B9+B10+B11+B12</f>
        <v>3318677385.4570374</v>
      </c>
      <c r="C13" s="20">
        <f>C9+C10+C11+C12</f>
        <v>2336545684.2326965</v>
      </c>
      <c r="D13" s="20">
        <f>D9+D10+D11+D12</f>
        <v>2331144322.9772553</v>
      </c>
      <c r="E13" s="20">
        <f>E9+E10+E11+E12</f>
        <v>2328866303.1375856</v>
      </c>
      <c r="F13" s="20">
        <f>F9+F10+F11+F12</f>
        <v>2329678437.162109</v>
      </c>
      <c r="G13" s="20">
        <f>G9+G10+G11+G12</f>
        <v>2333559001.7099886</v>
      </c>
      <c r="H13" s="20">
        <f>H9+H10+H11+H12</f>
        <v>2340497368.283651</v>
      </c>
      <c r="I13" s="20">
        <f>I9+I10+I11+I12</f>
        <v>2350493690.781509</v>
      </c>
      <c r="J13" s="20">
        <f>J9+J10+J11+J12</f>
        <v>2363558644.035291</v>
      </c>
      <c r="K13" s="20">
        <f>K9+K10+K11+K12</f>
        <v>2379713207.538389</v>
      </c>
    </row>
    <row r="14" spans="1:11" x14ac:dyDescent="0.25">
      <c r="A14" t="s">
        <v>57</v>
      </c>
      <c r="B14" s="21">
        <f>1/(1+Assumptions!$B$26)^(1-0.5*Assumptions!$B$32)</f>
        <v>0.9573333643065762</v>
      </c>
      <c r="C14" s="21">
        <f>1/(1+Assumptions!$B$26)^(2-0.5*Assumptions!$B$32)</f>
        <v>0.8773837461967732</v>
      </c>
      <c r="D14" s="21">
        <f>1/(1+Assumptions!$B$26)^(3-0.5*Assumptions!$B$32)</f>
        <v>0.8041109469195963</v>
      </c>
      <c r="E14" s="21">
        <f>1/(1+Assumptions!$B$26)^(4-0.5*Assumptions!$B$32)</f>
        <v>0.7369573664417034</v>
      </c>
      <c r="F14" s="21">
        <f>1/(1+Assumptions!$B$26)^(5-0.5*Assumptions!$B$32)</f>
        <v>0.6754119714863135</v>
      </c>
      <c r="G14" s="21">
        <f>1/(1+Assumptions!$B$26)^(6-0.5*Assumptions!$B$32)</f>
        <v>0.6190064066116027</v>
      </c>
      <c r="H14" s="21">
        <f>1/(1+Assumptions!$B$26)^(7-0.5*Assumptions!$B$32)</f>
        <v>0.5673114300639446</v>
      </c>
      <c r="I14" s="21">
        <f>1/(1+Assumptions!$B$26)^(8-0.5*Assumptions!$B$32)</f>
        <v>0.5199336472831351</v>
      </c>
      <c r="J14" s="21">
        <f>1/(1+Assumptions!$B$26)^(9-0.5*Assumptions!$B$32)</f>
        <v>0.47651251720183596</v>
      </c>
      <c r="K14" s="21">
        <f>1/(1+Assumptions!$B$26)^(10-0.5*Assumptions!$B$32)</f>
        <v>0.43671760855742403</v>
      </c>
    </row>
    <row r="15" spans="1:11" x14ac:dyDescent="0.25">
      <c r="A15" s="19" t="s">
        <v>58</v>
      </c>
      <c r="B15" s="20">
        <f>B13*B14</f>
        <v>3177080586.467738</v>
      </c>
      <c r="C15" s="20">
        <f>C13*C14</f>
        <v>2050047205.591986</v>
      </c>
      <c r="D15" s="20">
        <f>D13*D14</f>
        <v>1874498668.955482</v>
      </c>
      <c r="E15" s="20">
        <f>E13*E14</f>
        <v>1716275177.555101</v>
      </c>
      <c r="F15" s="20">
        <f>F13*F14</f>
        <v>1573492706.1728137</v>
      </c>
      <c r="G15" s="20">
        <f>G13*G14</f>
        <v>1444487972.2646587</v>
      </c>
      <c r="H15" s="20">
        <f>H13*H14</f>
        <v>1327790909.0618968</v>
      </c>
      <c r="I15" s="20">
        <f>I13*I14</f>
        <v>1222100757.5640273</v>
      </c>
      <c r="J15" s="20">
        <f>J13*J14</f>
        <v>1126265279.0234149</v>
      </c>
      <c r="K15" s="20">
        <f>K13*K14</f>
        <v>1039262661.0486822</v>
      </c>
    </row>
    <row r="17" spans="1:2" x14ac:dyDescent="0.25">
      <c r="A17" s="22" t="s">
        <v>59</v>
      </c>
      <c r="B17" s="23">
        <f>SUM(B15:K15)</f>
        <v>16551301923.7058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0.011578917242202315</v>
      </c>
      <c r="D19" s="9">
        <f>Assumptions!$B$10+($B$20-Assumptions!$B$10)*2/9</f>
        <v>0.01315783448440463</v>
      </c>
      <c r="E19" s="9">
        <f>Assumptions!$B$10+($B$20-Assumptions!$B$10)*3/9</f>
        <v>0.014736751726606944</v>
      </c>
      <c r="F19" s="9">
        <f>Assumptions!$B$10+($B$20-Assumptions!$B$10)*4/9</f>
        <v>0.01631566896880926</v>
      </c>
      <c r="G19" s="9">
        <f>Assumptions!$B$10+($B$20-Assumptions!$B$10)*5/9</f>
        <v>0.017894586211011573</v>
      </c>
      <c r="H19" s="9">
        <f>Assumptions!$B$10+($B$20-Assumptions!$B$10)*6/9</f>
        <v>0.01947350345321389</v>
      </c>
      <c r="I19" s="9">
        <f>Assumptions!$B$10+($B$20-Assumptions!$B$10)*7/9</f>
        <v>0.021052420695416206</v>
      </c>
      <c r="J19" s="9">
        <f>Assumptions!$B$10+($B$20-Assumptions!$B$10)*8/9</f>
        <v>0.02263133793761852</v>
      </c>
      <c r="K19" s="9">
        <f>Assumptions!$B$10+($B$20-Assumptions!$B$10)*9/9</f>
        <v>0.024210255179820835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0.024210255179820835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2379713207.538389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2950967316.4445186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0.11785054742981817</v>
      </c>
    </row>
    <row r="7" spans="1:2" x14ac:dyDescent="0.25">
      <c r="A7" t="s">
        <v>66</v>
      </c>
      <c r="B7" s="18">
        <f>-MAX(B5,0)*B6</f>
        <v>-347773113.690488</v>
      </c>
    </row>
    <row r="8" spans="1:2" x14ac:dyDescent="0.25">
      <c r="A8" t="s">
        <v>67</v>
      </c>
      <c r="B8" s="18">
        <f>IF(OR(Assumptions!$B$33=0,Assumptions!B12&lt;=0),B5,MAX(B5+B7,0))</f>
        <v>2603194202.7540307</v>
      </c>
    </row>
    <row r="9" spans="1:2" x14ac:dyDescent="0.25">
      <c r="A9" t="s">
        <v>68</v>
      </c>
      <c r="B9" s="18">
        <f>B8*(1+Assumptions!B12)/(Assumptions!B26-Assumptions!B12)</f>
        <v>40353344857.29471</v>
      </c>
    </row>
    <row r="10" spans="1:2" x14ac:dyDescent="0.25">
      <c r="A10" t="s">
        <v>69</v>
      </c>
      <c r="B10" s="18">
        <f>B9/(1+Assumptions!B26)^(10-0.5*Assumptions!B32)</f>
        <v>17623016263.37077</v>
      </c>
    </row>
    <row r="11" spans="1:2" x14ac:dyDescent="0.25">
      <c r="A11" t="s">
        <v>70</v>
      </c>
      <c r="B11" s="18">
        <f>Forecast!B17+B10</f>
        <v>34174318187.07657</v>
      </c>
    </row>
    <row r="12" spans="1:2" x14ac:dyDescent="0.25">
      <c r="A12" t="s">
        <v>71</v>
      </c>
      <c r="B12" s="18">
        <f>-Assumptions!B30</f>
        <v>297855000</v>
      </c>
    </row>
    <row r="13" spans="1:2" x14ac:dyDescent="0.25">
      <c r="A13" t="s">
        <v>72</v>
      </c>
      <c r="B13" s="18">
        <f>B11+B12</f>
        <v>34472173187.07657</v>
      </c>
    </row>
    <row r="14" spans="1:2" x14ac:dyDescent="0.25">
      <c r="A14" s="19" t="s">
        <v>73</v>
      </c>
      <c r="B14" s="24">
        <f>B13/Assumptions!B31</f>
        <v>172.76080720406026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3831292170.2998815</v>
      </c>
    </row>
    <row r="18" spans="1:2" x14ac:dyDescent="0.25">
      <c r="A18" t="s">
        <v>68</v>
      </c>
      <c r="B18" s="18">
        <f>B17*Assumptions!B13</f>
        <v>29082034327.29462</v>
      </c>
    </row>
    <row r="19" spans="1:2" x14ac:dyDescent="0.25">
      <c r="A19" t="s">
        <v>69</v>
      </c>
      <c r="B19" s="18">
        <f>B18/(1+Assumptions!B26)^(10-0.5*Assumptions!B32)</f>
        <v>12700636483.40102</v>
      </c>
    </row>
    <row r="20" spans="1:2" x14ac:dyDescent="0.25">
      <c r="A20" t="s">
        <v>70</v>
      </c>
      <c r="B20" s="18">
        <f>Forecast!B17+B19</f>
        <v>29251938407.10682</v>
      </c>
    </row>
    <row r="21" spans="1:2" x14ac:dyDescent="0.25">
      <c r="A21" t="s">
        <v>71</v>
      </c>
      <c r="B21" s="18">
        <f>-Assumptions!B30</f>
        <v>297855000</v>
      </c>
    </row>
    <row r="22" spans="1:2" x14ac:dyDescent="0.25">
      <c r="A22" t="s">
        <v>72</v>
      </c>
      <c r="B22" s="18">
        <f>B20+B21</f>
        <v>29549793407.10682</v>
      </c>
    </row>
    <row r="23" spans="1:2" x14ac:dyDescent="0.25">
      <c r="A23" s="19" t="s">
        <v>73</v>
      </c>
      <c r="B23" s="25">
        <f>B22/Assumptions!B31</f>
        <v>148.0917995514958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124.74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172.76080720406026</v>
      </c>
    </row>
    <row r="29" spans="1:2" x14ac:dyDescent="0.25">
      <c r="A29" s="19" t="s">
        <v>81</v>
      </c>
      <c r="B29" s="11">
        <f>B28/B26-1</f>
        <v>0.38496718938640573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0.071123</v>
      </c>
      <c r="B5" s="31">
        <v>222.55258765135264</v>
      </c>
      <c r="C5" s="31">
        <v>231.25358147662033</v>
      </c>
      <c r="D5" s="31">
        <v>242.02587786162957</v>
      </c>
      <c r="E5" s="31">
        <v>255.62500384468314</v>
      </c>
      <c r="F5" s="31">
        <v>273.2247944885019</v>
      </c>
    </row>
    <row r="6" spans="1:6" x14ac:dyDescent="0.25">
      <c r="A6" s="30">
        <v>0.081123</v>
      </c>
      <c r="B6" s="31">
        <v>190.1492468630617</v>
      </c>
      <c r="C6" s="31">
        <v>195.16515490799716</v>
      </c>
      <c r="D6" s="31">
        <v>201.21852158371792</v>
      </c>
      <c r="E6" s="31">
        <v>208.61374763864993</v>
      </c>
      <c r="F6" s="31">
        <v>217.78722902900097</v>
      </c>
    </row>
    <row r="7" spans="1:6" x14ac:dyDescent="0.25">
      <c r="A7" s="30">
        <v>0.091123</v>
      </c>
      <c r="B7" s="31">
        <v>166.30143343656084</v>
      </c>
      <c r="C7" s="31">
        <v>169.25008598316194</v>
      </c>
      <c r="D7" s="32">
        <v>172.76019885170322</v>
      </c>
      <c r="E7" s="31">
        <v>176.96955822462195</v>
      </c>
      <c r="F7" s="31">
        <v>182.0650517872817</v>
      </c>
    </row>
    <row r="8" spans="1:6" x14ac:dyDescent="0.25">
      <c r="A8" s="30">
        <v>0.101123</v>
      </c>
      <c r="B8" s="31">
        <v>148.02421060416827</v>
      </c>
      <c r="C8" s="31">
        <v>149.74246309112883</v>
      </c>
      <c r="D8" s="31">
        <v>151.78155029126444</v>
      </c>
      <c r="E8" s="31">
        <v>154.20913696418344</v>
      </c>
      <c r="F8" s="31">
        <v>157.11335420030449</v>
      </c>
    </row>
    <row r="9" spans="1:6" x14ac:dyDescent="0.25">
      <c r="A9" s="30">
        <v>0.111123</v>
      </c>
      <c r="B9" s="31">
        <v>133.57525693684423</v>
      </c>
      <c r="C9" s="31">
        <v>134.52989747421918</v>
      </c>
      <c r="D9" s="31">
        <v>135.67513439084945</v>
      </c>
      <c r="E9" s="31">
        <v>137.04620979672637</v>
      </c>
      <c r="F9" s="31">
        <v>138.68762505594094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17311953000</v>
      </c>
      <c r="C5" s="18">
        <v>17946950000</v>
      </c>
      <c r="D5" s="18">
        <v>16061578000</v>
      </c>
      <c r="E5" s="18">
        <v>16002979000</v>
      </c>
      <c r="F5" s="6" t="s">
        <v>91</v>
      </c>
    </row>
    <row r="6" spans="1:6" x14ac:dyDescent="0.25">
      <c r="A6" t="s">
        <v>51</v>
      </c>
      <c r="B6" s="18">
        <v>2978583000</v>
      </c>
      <c r="C6" s="18">
        <v>3889895000</v>
      </c>
      <c r="D6" s="18">
        <v>3396305000</v>
      </c>
      <c r="E6" s="18">
        <v>3442158000</v>
      </c>
      <c r="F6" s="6" t="s">
        <v>92</v>
      </c>
    </row>
    <row r="7" spans="1:6" x14ac:dyDescent="0.25">
      <c r="A7" t="s">
        <v>93</v>
      </c>
      <c r="B7" s="18">
        <v>112507000</v>
      </c>
      <c r="C7" s="18">
        <v>89162000</v>
      </c>
      <c r="D7" s="18">
        <v>80824000</v>
      </c>
      <c r="E7" s="18">
        <v>70918000</v>
      </c>
      <c r="F7" s="6" t="s">
        <v>94</v>
      </c>
    </row>
    <row r="8" spans="1:6" x14ac:dyDescent="0.25">
      <c r="A8" t="s">
        <v>95</v>
      </c>
      <c r="B8" s="18">
        <v>122716000</v>
      </c>
      <c r="C8" s="18">
        <v>118545000</v>
      </c>
      <c r="D8" s="18">
        <v>92201000</v>
      </c>
      <c r="E8" s="18">
        <v>112661000</v>
      </c>
      <c r="F8" s="6" t="s">
        <v>96</v>
      </c>
    </row>
    <row r="9" spans="1:6" x14ac:dyDescent="0.25">
      <c r="A9" t="s">
        <v>97</v>
      </c>
      <c r="B9" s="18">
        <v>731072000</v>
      </c>
      <c r="C9" s="18">
        <v>1676885000</v>
      </c>
      <c r="D9" s="18">
        <v>680597000</v>
      </c>
      <c r="E9" s="18">
        <v>2235900000</v>
      </c>
      <c r="F9" s="6" t="s">
        <v>98</v>
      </c>
    </row>
    <row r="10" spans="1:6" x14ac:dyDescent="0.25">
      <c r="A10" t="s">
        <v>99</v>
      </c>
      <c r="B10" s="18">
        <v>2296679000</v>
      </c>
      <c r="C10" s="18">
        <v>2254513000</v>
      </c>
      <c r="D10" s="18">
        <v>2553399000</v>
      </c>
      <c r="E10" s="18">
        <v>2722321000</v>
      </c>
      <c r="F10" s="6" t="s">
        <v>100</v>
      </c>
    </row>
    <row r="11" spans="1:6" x14ac:dyDescent="0.25">
      <c r="A11" t="s">
        <v>101</v>
      </c>
      <c r="B11" s="18">
        <v>2594534000</v>
      </c>
      <c r="C11" s="18">
        <v>2242909000</v>
      </c>
      <c r="D11" s="18">
        <v>2322647000</v>
      </c>
      <c r="E11" s="18">
        <v>1730311000</v>
      </c>
      <c r="F11" s="6" t="s">
        <v>102</v>
      </c>
    </row>
    <row r="12" spans="1:6" x14ac:dyDescent="0.25">
      <c r="A12" t="s">
        <v>34</v>
      </c>
      <c r="B12" s="34">
        <v>199537000</v>
      </c>
      <c r="C12" s="34">
        <v>209829000</v>
      </c>
      <c r="D12" s="34">
        <v>221163000</v>
      </c>
      <c r="E12" s="34">
        <v>236166000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