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<sst xmlns="http://schemas.openxmlformats.org/spreadsheetml/2006/main" count="113" uniqueCount="101">
  <si>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PulteGroup, Inc. (PHM)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</si>
  <si>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</si>
  <si>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</si>
  <si>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</si>
  <si>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</si>
  <si>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</si>
  <si>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</si>
  <si>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</si>
  <si>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</si>
  <si>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</si>
  <si>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</si>
  <si>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</si>
  <si>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</si>
  <si>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</si>
  <si>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</si>
  <si>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</si>
  <si>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</si>
  <si>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</si>
  <si>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</si>
  <si>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</si>
  <si>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</si>
  <si>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</si>
  <si>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</si>
  <si>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</si>
  <si>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</si>
  <si>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</si>
  <si>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</si>
  <si>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</si>
  <si>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</si>
  <si>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</si>
  <si>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</si>
  <si>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</si>
  <si>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</si>
  <si>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</si>
  <si>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</si>
  <si>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</si>
  <si>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</si>
  <si>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</si>
  <si>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</si>
  <si>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</si>
  <si>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</si>
  <si>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</si>
  <si>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</si>
  <si>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</si>
  <si>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</si>
  <si>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</si>
  <si>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</si>
  <si>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</si>
  <si>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</si>
  <si>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</si>
  <si>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</si>
  <si>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</si>
  <si>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</si>
  <si>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</si>
  <si>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</si>
  <si>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</si>
  <si>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</si>
  <si>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</si>
  <si>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</si>
  <si>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</si>
  <si>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</si>
  <si>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</si>
  <si>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</si>
  <si>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</si>
  <si>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</si>
  <si>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</si>
  <si>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</si>
  <si>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</si>
  <si>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</si>
  <si>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</si>
  <si>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</si>
  <si>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</si>
  <si>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</si>
  <si>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</si>
  <si>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</si>
  <si>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</si>
  <si>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</si>
  <si>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</si>
  <si>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</si>
  <si>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</si>
  <si>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</si>
  <si>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</si>
  <si>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</si>
  <si>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</si>
  <si>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</si>
  <si>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</si>
  <si>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</si>
  <si>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</si>
  <si>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</si>
  <si>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</si>
  <si>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</si>
  <si>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</si>
  <si>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</si>
  <si>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</si>
  <si>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</si>
  <si>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</si>
  <si>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</si>
  <si>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</si>
  <si>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0.66%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</si>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</sst>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0.026553866296244344</v>
      </c>
    </row>
    <row r="7" spans="1:2" x14ac:dyDescent="0.25">
      <c r="A7" t="s">
        <v>5</v>
      </c>
      <c r="B7" s="6">
        <v>0.20383692498954345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0.005232643554642337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0.889418639928884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7.129709934036214</v>
      </c>
    </row>
    <row r="14" spans="1:3" x14ac:dyDescent="0.25">
      <c r="A14" t="s">
        <v>12</v>
      </c>
      <c r="B14" s="6">
        <v>0.21213308334344302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1.13467</v>
      </c>
      <c r="C19" s="8" t="s">
        <v>19</v>
      </c>
    </row>
    <row r="20" spans="1:2" x14ac:dyDescent="0.25">
      <c r="A20" t="s">
        <v>20</v>
      </c>
      <c r="B20" s="10">
        <f>B17+B19*B18</f>
        <v>0.11238685000000001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22336430080</v>
      </c>
    </row>
    <row r="23" spans="1:2" x14ac:dyDescent="0.25">
      <c r="A23" t="s">
        <v>24</v>
      </c>
      <c r="B23" s="11">
        <v>2296679000</v>
      </c>
    </row>
    <row r="24" spans="1:2" x14ac:dyDescent="0.25">
      <c r="A24" t="s">
        <v>25</v>
      </c>
      <c r="B24" s="10">
        <f>B22/(B22+B23)</f>
        <v>0.9067645504048569</v>
      </c>
    </row>
    <row r="25" spans="1:2" x14ac:dyDescent="0.25">
      <c r="A25" t="s">
        <v>26</v>
      </c>
      <c r="B25" s="10">
        <f>1-B24</f>
        <v>0.09323544959514307</v>
      </c>
    </row>
    <row r="26" spans="1:2" x14ac:dyDescent="0.25">
      <c r="A26" t="s">
        <v>27</v>
      </c>
      <c r="B26" s="12">
        <f>B24*B20+B25*B21*(1-B8)</f>
        <v>0.10558973865057265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17311953000</v>
      </c>
      <c r="C29" s="8" t="s">
        <v>30</v>
      </c>
    </row>
    <row r="30" spans="1:2" x14ac:dyDescent="0.25">
      <c r="A30" t="s">
        <v>31</v>
      </c>
      <c r="B30" s="11">
        <v>-297855000</v>
      </c>
    </row>
    <row r="31" spans="1:2" x14ac:dyDescent="0.25">
      <c r="A31" t="s">
        <v>32</v>
      </c>
      <c r="B31" s="13">
        <v>199537000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0.026553866296244344</v>
      </c>
      <c r="C5" s="10">
        <f>Assumptions!B6</f>
        <v>0.026553866296244344</v>
      </c>
      <c r="D5" s="10">
        <f>Assumptions!B6</f>
        <v>0.026553866296244344</v>
      </c>
      <c r="E5" s="10">
        <f>Assumptions!B6</f>
        <v>0.026553866296244344</v>
      </c>
      <c r="F5" s="10">
        <f>Assumptions!B6</f>
        <v>0.026553866296244344</v>
      </c>
    </row>
    <row r="6" spans="1:6" x14ac:dyDescent="0.25">
      <c r="A6" t="s">
        <v>43</v>
      </c>
      <c r="B6" s="18">
        <f>Assumptions!B29*(1+B5)</f>
        <v>17771652285.288868</v>
      </c>
      <c r="C6" s="18">
        <f>B6*(1+C5)</f>
        <v>18243558363.935772</v>
      </c>
      <c r="D6" s="18">
        <f>C6*(1+D5)</f>
        <v>18727995373.499454</v>
      </c>
      <c r="E6" s="18">
        <f>D6*(1+E5)</f>
        <v>19225296058.644043</v>
      </c>
      <c r="F6" s="18">
        <f>E6*(1+F5)</f>
        <v>19735801999.69099</v>
      </c>
    </row>
    <row r="7" spans="1:6" x14ac:dyDescent="0.25">
      <c r="A7" t="s">
        <v>5</v>
      </c>
      <c r="B7" s="10">
        <f>Assumptions!B7</f>
        <v>0.20383692498954345</v>
      </c>
      <c r="C7" s="10">
        <f>Assumptions!B7</f>
        <v>0.20383692498954345</v>
      </c>
      <c r="D7" s="10">
        <f>Assumptions!B7</f>
        <v>0.20383692498954345</v>
      </c>
      <c r="E7" s="10">
        <f>Assumptions!B7</f>
        <v>0.20383692498954345</v>
      </c>
      <c r="F7" s="10">
        <f>Assumptions!B7</f>
        <v>0.20383692498954345</v>
      </c>
    </row>
    <row r="8" spans="1:6" x14ac:dyDescent="0.25">
      <c r="A8" t="s">
        <v>44</v>
      </c>
      <c r="B8" s="18">
        <f>B6*B7</f>
        <v>3622518953.816675</v>
      </c>
      <c r="C8" s="18">
        <f>C6*C7</f>
        <v>3718710837.771934</v>
      </c>
      <c r="D8" s="18">
        <f>D6*D7</f>
        <v>3817456988.152525</v>
      </c>
      <c r="E8" s="18">
        <f>E6*E7</f>
        <v>3918825230.607591</v>
      </c>
      <c r="F8" s="18">
        <f>F6*F7</f>
        <v>4022885191.8194942</v>
      </c>
    </row>
    <row r="9" spans="1:6" x14ac:dyDescent="0.25">
      <c r="A9" t="s">
        <v>45</v>
      </c>
      <c r="B9" s="18">
        <f>B8*(1-Assumptions!B8)</f>
        <v>2861789973.5151734</v>
      </c>
      <c r="C9" s="18">
        <f>C8*(1-Assumptions!B8)</f>
        <v>2937781561.839828</v>
      </c>
      <c r="D9" s="18">
        <f>D8*(1-Assumptions!B8)</f>
        <v>3015791020.640495</v>
      </c>
      <c r="E9" s="18">
        <f>E8*(1-Assumptions!B8)</f>
        <v>3095871932.179997</v>
      </c>
      <c r="F9" s="18">
        <f>F8*(1-Assumptions!B8)</f>
        <v>3178079301.5374007</v>
      </c>
    </row>
    <row r="10" spans="1:6" x14ac:dyDescent="0.25">
      <c r="A10" t="s">
        <v>46</v>
      </c>
      <c r="B10" s="18">
        <f>B6*Assumptions!B9</f>
        <v>92992721.78596155</v>
      </c>
      <c r="C10" s="18">
        <f>C6*Assumptions!B9</f>
        <v>95462038.08678982</v>
      </c>
      <c r="D10" s="18">
        <f>D6*Assumptions!B9</f>
        <v>97996924.28251342</v>
      </c>
      <c r="E10" s="18">
        <f>E6*Assumptions!B9</f>
        <v>100599121.50735447</v>
      </c>
      <c r="F10" s="18">
        <f>F6*Assumptions!B9</f>
        <v>103270417.1293804</v>
      </c>
    </row>
    <row r="11" spans="1:6" x14ac:dyDescent="0.25">
      <c r="A11" t="s">
        <v>47</v>
      </c>
      <c r="B11" s="18">
        <f>-B6*Assumptions!B10</f>
        <v>-177716522.85288867</v>
      </c>
      <c r="C11" s="18">
        <f>-C6*Assumptions!B10</f>
        <v>-182435583.63935772</v>
      </c>
      <c r="D11" s="18">
        <f>-D6*Assumptions!B10</f>
        <v>-187279953.73499456</v>
      </c>
      <c r="E11" s="18">
        <f>-E6*Assumptions!B10</f>
        <v>-192252960.58644044</v>
      </c>
      <c r="F11" s="18">
        <f>-F6*Assumptions!B10</f>
        <v>-197358019.99690992</v>
      </c>
    </row>
    <row r="12" spans="1:6" x14ac:dyDescent="0.25">
      <c r="A12" t="s">
        <v>48</v>
      </c>
      <c r="B12" s="18">
        <f>-(B6-Assumptions!B29)*Assumptions!B11</f>
        <v>-408865113.097905</v>
      </c>
      <c r="C12" s="18">
        <f>-(C6-B6)*Assumptions!B11</f>
        <v>-419722062.6443023</v>
      </c>
      <c r="D12" s="18">
        <f>-(D6-C6)*Assumptions!B11</f>
        <v>-430867306.17734635</v>
      </c>
      <c r="E12" s="18">
        <f>-(E6-D6)*Assumptions!B11</f>
        <v>-442308499.01700205</v>
      </c>
      <c r="F12" s="18">
        <f>-(F6-E6)*Assumptions!B11</f>
        <v>-454053499.7615911</v>
      </c>
    </row>
    <row r="13" spans="1:6" x14ac:dyDescent="0.25">
      <c r="A13" s="19" t="s">
        <v>49</v>
      </c>
      <c r="B13" s="20">
        <f>B9+B10+B11+B12</f>
        <v>2368201059.3503413</v>
      </c>
      <c r="C13" s="20">
        <f>C9+C10+C11+C12</f>
        <v>2431085953.6429577</v>
      </c>
      <c r="D13" s="20">
        <f>D9+D10+D11+D12</f>
        <v>2495640685.010668</v>
      </c>
      <c r="E13" s="20">
        <f>E9+E10+E11+E12</f>
        <v>2561909594.0839086</v>
      </c>
      <c r="F13" s="20">
        <f>F9+F10+F11+F12</f>
        <v>2629938198.90828</v>
      </c>
    </row>
    <row r="14" spans="1:6" x14ac:dyDescent="0.25">
      <c r="A14" t="s">
        <v>50</v>
      </c>
      <c r="B14" s="21">
        <f>1/(1+Assumptions!$B$26)^(1-0.5*Assumptions!$B$32)</f>
        <v>0.9510492346085155</v>
      </c>
      <c r="C14" s="21">
        <f>1/(1+Assumptions!$B$26)^(2-0.5*Assumptions!$B$32)</f>
        <v>0.8602189414034527</v>
      </c>
      <c r="D14" s="21">
        <f>1/(1+Assumptions!$B$26)^(3-0.5*Assumptions!$B$32)</f>
        <v>0.7780634274458741</v>
      </c>
      <c r="E14" s="21">
        <f>1/(1+Assumptions!$B$26)^(4-0.5*Assumptions!$B$32)</f>
        <v>0.7037542048785106</v>
      </c>
      <c r="F14" s="21">
        <f>1/(1+Assumptions!$B$26)^(5-0.5*Assumptions!$B$32)</f>
        <v>0.6365419108696484</v>
      </c>
    </row>
    <row r="15" spans="1:6" x14ac:dyDescent="0.25">
      <c r="A15" s="19" t="s">
        <v>51</v>
      </c>
      <c r="B15" s="20">
        <f>B13*B14</f>
        <v>2252275804.894218</v>
      </c>
      <c r="C15" s="20">
        <f>C13*C14</f>
        <v>2091266185.5035484</v>
      </c>
      <c r="D15" s="20">
        <f>D13*D14</f>
        <v>1941766745.0527692</v>
      </c>
      <c r="E15" s="20">
        <f>E13*E14</f>
        <v>1802954649.3551488</v>
      </c>
      <c r="F15" s="20">
        <f>F13*F14</f>
        <v>1674065886.6021578</v>
      </c>
    </row>
    <row r="17" spans="1:2" x14ac:dyDescent="0.25">
      <c r="A17" s="22" t="s">
        <v>52</v>
      </c>
      <c r="B17" s="23">
        <f>SUM(B15:F15)</f>
        <v>9762329271.40784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2629938198.90828</v>
      </c>
    </row>
    <row r="5" spans="1:2" x14ac:dyDescent="0.25">
      <c r="A5" t="s">
        <v>56</v>
      </c>
      <c r="B5" s="18">
        <f>IF(Assumptions!$B$33=0,B4,B4-Forecast!F11-Forecast!F10-Forecast!F12)</f>
        <v>3178079301.5374007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0.11785054742981817</v>
      </c>
    </row>
    <row r="7" spans="1:2" x14ac:dyDescent="0.25">
      <c r="A7" t="s">
        <v>58</v>
      </c>
      <c r="B7" s="18">
        <f>-MAX(Forecast!F9,0)*B6</f>
        <v>-374538385.46155685</v>
      </c>
    </row>
    <row r="8" spans="1:2" x14ac:dyDescent="0.25">
      <c r="A8" t="s">
        <v>59</v>
      </c>
      <c r="B8" s="18">
        <f>IF(OR(Assumptions!$B$33=0,Assumptions!B12&lt;=0),B5,MAX(B5+B7,0))</f>
        <v>2803540916.075844</v>
      </c>
    </row>
    <row r="9" spans="1:2" x14ac:dyDescent="0.25">
      <c r="A9" t="s">
        <v>60</v>
      </c>
      <c r="B9" s="18">
        <f>B8*(1+Assumptions!B12)/(Assumptions!B26-Assumptions!B12)</f>
        <v>35657510336.86124</v>
      </c>
    </row>
    <row r="10" spans="1:2" x14ac:dyDescent="0.25">
      <c r="A10" t="s">
        <v>61</v>
      </c>
      <c r="B10" s="18">
        <f>B9/(1+Assumptions!B26)^(5-0.5*Assumptions!B32)</f>
        <v>22697499766.679893</v>
      </c>
    </row>
    <row r="11" spans="1:2" x14ac:dyDescent="0.25">
      <c r="A11" t="s">
        <v>62</v>
      </c>
      <c r="B11" s="18">
        <f>Forecast!B17+B10</f>
        <v>32459829038.087734</v>
      </c>
    </row>
    <row r="12" spans="1:2" x14ac:dyDescent="0.25">
      <c r="A12" t="s">
        <v>63</v>
      </c>
      <c r="B12" s="18">
        <f>-Assumptions!B30</f>
        <v>297855000</v>
      </c>
    </row>
    <row r="13" spans="1:2" x14ac:dyDescent="0.25">
      <c r="A13" t="s">
        <v>64</v>
      </c>
      <c r="B13" s="18">
        <f>B11+B12</f>
        <v>32757684038.087734</v>
      </c>
    </row>
    <row r="14" spans="1:2" x14ac:dyDescent="0.25">
      <c r="A14" s="19" t="s">
        <v>65</v>
      </c>
      <c r="B14" s="24">
        <f>B13/Assumptions!B31</f>
        <v>164.16847019894925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4126155608.9488745</v>
      </c>
    </row>
    <row r="18" spans="1:2" x14ac:dyDescent="0.25">
      <c r="A18" t="s">
        <v>60</v>
      </c>
      <c r="B18" s="18">
        <f>B17*Assumptions!B13</f>
        <v>29418292634.502033</v>
      </c>
    </row>
    <row r="19" spans="1:2" x14ac:dyDescent="0.25">
      <c r="A19" t="s">
        <v>61</v>
      </c>
      <c r="B19" s="18">
        <f>B18/(1+Assumptions!B26)^(5-0.5*Assumptions!B32)</f>
        <v>18725976208.08843</v>
      </c>
    </row>
    <row r="20" spans="1:2" x14ac:dyDescent="0.25">
      <c r="A20" t="s">
        <v>62</v>
      </c>
      <c r="B20" s="18">
        <f>Forecast!B17+B19</f>
        <v>28488305479.49627</v>
      </c>
    </row>
    <row r="21" spans="1:2" x14ac:dyDescent="0.25">
      <c r="A21" t="s">
        <v>63</v>
      </c>
      <c r="B21" s="18">
        <f>-Assumptions!B30</f>
        <v>297855000</v>
      </c>
    </row>
    <row r="22" spans="1:2" x14ac:dyDescent="0.25">
      <c r="A22" t="s">
        <v>64</v>
      </c>
      <c r="B22" s="18">
        <f>B20+B21</f>
        <v>28786160479.49627</v>
      </c>
    </row>
    <row r="23" spans="1:2" x14ac:dyDescent="0.25">
      <c r="A23" s="19" t="s">
        <v>65</v>
      </c>
      <c r="B23" s="25">
        <f>B22/Assumptions!B31</f>
        <v>144.2647753524222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117.26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164.16847019894925</v>
      </c>
    </row>
    <row r="29" spans="1:2" x14ac:dyDescent="0.25">
      <c r="A29" s="19" t="s">
        <v>73</v>
      </c>
      <c r="B29" s="12">
        <f>B28/B26-1</f>
        <v>0.40003812211281975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0.08559</v>
      </c>
      <c r="B5" s="31">
        <v>199.6492550738129</v>
      </c>
      <c r="C5" s="31">
        <v>207.60582912354732</v>
      </c>
      <c r="D5" s="31">
        <v>216.83276992498708</v>
      </c>
      <c r="E5" s="31">
        <v>227.6728639734656</v>
      </c>
      <c r="F5" s="31">
        <v>240.60441327937198</v>
      </c>
    </row>
    <row r="6" spans="1:6" x14ac:dyDescent="0.25">
      <c r="A6" s="30">
        <v>0.09559</v>
      </c>
      <c r="B6" s="31">
        <v>175.090625967799</v>
      </c>
      <c r="C6" s="31">
        <v>180.55722026462854</v>
      </c>
      <c r="D6" s="31">
        <v>186.76296442942498</v>
      </c>
      <c r="E6" s="31">
        <v>193.87689715740868</v>
      </c>
      <c r="F6" s="31">
        <v>202.12385469957502</v>
      </c>
    </row>
    <row r="7" spans="1:6" x14ac:dyDescent="0.25">
      <c r="A7" s="30">
        <v>0.10559</v>
      </c>
      <c r="B7" s="31">
        <v>155.97890997972846</v>
      </c>
      <c r="C7" s="31">
        <v>159.84819733130175</v>
      </c>
      <c r="D7" s="32">
        <v>164.16795310672742</v>
      </c>
      <c r="E7" s="31">
        <v>169.02756778566922</v>
      </c>
      <c r="F7" s="31">
        <v>174.5417585171956</v>
      </c>
    </row>
    <row r="8" spans="1:6" x14ac:dyDescent="0.25">
      <c r="A8" s="30">
        <v>0.11559</v>
      </c>
      <c r="B8" s="31">
        <v>140.6882537441857</v>
      </c>
      <c r="C8" s="31">
        <v>143.4880674288753</v>
      </c>
      <c r="D8" s="31">
        <v>146.5716144614909</v>
      </c>
      <c r="E8" s="31">
        <v>149.98862027980437</v>
      </c>
      <c r="F8" s="31">
        <v>153.80115067095386</v>
      </c>
    </row>
    <row r="9" spans="1:6" x14ac:dyDescent="0.25">
      <c r="A9" s="30">
        <v>0.12559</v>
      </c>
      <c r="B9" s="31">
        <v>128.18095049944483</v>
      </c>
      <c r="C9" s="31">
        <v>130.2403238646694</v>
      </c>
      <c r="D9" s="31">
        <v>132.48251188525325</v>
      </c>
      <c r="E9" s="31">
        <v>134.9362018698102</v>
      </c>
      <c r="F9" s="31">
        <v>137.63641456521728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17311953000</v>
      </c>
      <c r="C5" s="18">
        <v>17946950000</v>
      </c>
      <c r="D5" s="18">
        <v>16061578000</v>
      </c>
      <c r="E5" s="18">
        <v>16002979000</v>
      </c>
      <c r="F5" s="8" t="s">
        <v>84</v>
      </c>
    </row>
    <row r="6" spans="1:6" x14ac:dyDescent="0.25">
      <c r="A6" t="s">
        <v>44</v>
      </c>
      <c r="B6" s="18">
        <v>2978583000</v>
      </c>
      <c r="C6" s="18">
        <v>3889895000</v>
      </c>
      <c r="D6" s="18">
        <v>3396305000</v>
      </c>
      <c r="E6" s="18">
        <v>3442158000</v>
      </c>
      <c r="F6" s="8" t="s">
        <v>85</v>
      </c>
    </row>
    <row r="7" spans="1:6" x14ac:dyDescent="0.25">
      <c r="A7" t="s">
        <v>86</v>
      </c>
      <c r="B7" s="18">
        <v>112507000</v>
      </c>
      <c r="C7" s="18">
        <v>89162000</v>
      </c>
      <c r="D7" s="18">
        <v>80824000</v>
      </c>
      <c r="E7" s="18">
        <v>70918000</v>
      </c>
      <c r="F7" s="8" t="s">
        <v>87</v>
      </c>
    </row>
    <row r="8" spans="1:6" x14ac:dyDescent="0.25">
      <c r="A8" t="s">
        <v>88</v>
      </c>
      <c r="B8" s="18">
        <v>122716000</v>
      </c>
      <c r="C8" s="18">
        <v>118545000</v>
      </c>
      <c r="D8" s="18">
        <v>92201000</v>
      </c>
      <c r="E8" s="18">
        <v>112661000</v>
      </c>
      <c r="F8" s="8" t="s">
        <v>89</v>
      </c>
    </row>
    <row r="9" spans="1:6" x14ac:dyDescent="0.25">
      <c r="A9" t="s">
        <v>90</v>
      </c>
      <c r="B9" s="18">
        <v>731072000</v>
      </c>
      <c r="C9" s="18">
        <v>1676885000</v>
      </c>
      <c r="D9" s="18">
        <v>680597000</v>
      </c>
      <c r="E9" s="18">
        <v>2235900000</v>
      </c>
      <c r="F9" s="8" t="s">
        <v>91</v>
      </c>
    </row>
    <row r="10" spans="1:6" x14ac:dyDescent="0.25">
      <c r="A10" t="s">
        <v>92</v>
      </c>
      <c r="B10" s="18">
        <v>2296679000</v>
      </c>
      <c r="C10" s="18">
        <v>2254513000</v>
      </c>
      <c r="D10" s="18">
        <v>2553399000</v>
      </c>
      <c r="E10" s="18">
        <v>2722321000</v>
      </c>
      <c r="F10" s="8" t="s">
        <v>93</v>
      </c>
    </row>
    <row r="11" spans="1:6" x14ac:dyDescent="0.25">
      <c r="A11" t="s">
        <v>94</v>
      </c>
      <c r="B11" s="18">
        <v>2594534000</v>
      </c>
      <c r="C11" s="18">
        <v>2242909000</v>
      </c>
      <c r="D11" s="18">
        <v>2322647000</v>
      </c>
      <c r="E11" s="18">
        <v>1730311000</v>
      </c>
      <c r="F11" s="8" t="s">
        <v>95</v>
      </c>
    </row>
    <row r="12" spans="1:6" x14ac:dyDescent="0.25">
      <c r="A12" t="s">
        <v>32</v>
      </c>
      <c r="B12" s="34">
        <v>199537000</v>
      </c>
      <c r="C12" s="34">
        <v>209829000</v>
      </c>
      <c r="D12" s="34">
        <v>221163000</v>
      </c>
      <c r="E12" s="34">
        <v>236166000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2026-09-19T00:07:03Z</dcterms:modified>
</cp:coreProperties>
</file>