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<sst xmlns="http://schemas.openxmlformats.org/spreadsheetml/2006/main" count="120" uniqueCount="107">
  <si>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Packaging Corporation of America (PKG)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</si>
  <si>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</si>
  <si>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</si>
  <si>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</si>
  <si>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</si>
  <si>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</si>
  <si>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</si>
  <si>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</si>
  <si>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</si>
  <si>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</si>
  <si>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</si>
  <si>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</si>
  <si>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</si>
  <si>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</si>
  <si>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</si>
  <si>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</si>
  <si>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</si>
  <si>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</si>
  <si>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</si>
  <si>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</si>
  <si>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</si>
  <si>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</si>
  <si>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</si>
  <si>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</si>
  <si>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15.9x interest cover. Book interest / average debt was lower, at 2.2%.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</si>
  <si>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</si>
  <si>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</si>
  <si>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</si>
  <si>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</si>
  <si>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</si>
  <si>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</si>
  <si>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</si>
  <si>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</si>
  <si>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</si>
  <si>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</si>
  <si>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</si>
  <si>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</si>
  <si>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</si>
  <si>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</si>
  <si>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</si>
  <si>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</si>
  <si>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</si>
  <si>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</si>
  <si>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</si>
  <si>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</si>
  <si>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</si>
  <si>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</si>
  <si>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</si>
  <si>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</si>
  <si>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</si>
  <si>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</si>
  <si>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</si>
  <si>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</si>
  <si>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</si>
  <si>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</si>
  <si>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</si>
  <si>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</si>
  <si>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</si>
  <si>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</si>
  <si>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</si>
  <si>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</si>
  <si>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</si>
  <si>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</si>
  <si>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</si>
  <si>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</si>
  <si>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</si>
  <si>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</si>
  <si>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</si>
  <si>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</si>
  <si>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</si>
  <si>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</si>
  <si>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</si>
  <si>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</si>
  <si>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</si>
  <si>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</si>
  <si>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</si>
  <si>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</si>
  <si>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</si>
  <si>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</si>
  <si>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</si>
  <si>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</si>
  <si>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</si>
  <si>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</si>
  <si>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</si>
  <si>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</si>
  <si>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</si>
  <si>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</si>
  <si>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</si>
  <si>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</si>
  <si>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</si>
  <si>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</si>
  <si>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</si>
  <si>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</si>
  <si>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</si>
  <si>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</si>
  <si>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</si>
  <si>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</si>
  <si>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</si>
  <si>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</si>
  <si>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</si>
  <si>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</si>
  <si>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</si>
  <si>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</si>
  <si>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</si>
  <si>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</si>
  <si>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8.2% of revenue against depreciation of 6.4%.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</si>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</sst>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0.12210856685170146</v>
      </c>
    </row>
    <row r="7" spans="1:2" x14ac:dyDescent="0.25">
      <c r="A7" t="s">
        <v>4</v>
      </c>
      <c r="B7" s="5">
        <v>0.14941168064171292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0.06388693891946866</v>
      </c>
    </row>
    <row r="10" spans="1:3" x14ac:dyDescent="0.25">
      <c r="A10" t="s">
        <v>7</v>
      </c>
      <c r="B10" s="5">
        <v>0.08237759672667147</v>
      </c>
      <c r="C10" s="6" t="s">
        <v>8</v>
      </c>
    </row>
    <row r="11" spans="1:2" x14ac:dyDescent="0.25">
      <c r="A11" t="s">
        <v>9</v>
      </c>
      <c r="B11" s="5">
        <v>0.21500427874635936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13.964114939733781</v>
      </c>
    </row>
    <row r="14" spans="1:3" x14ac:dyDescent="0.25">
      <c r="A14" t="s">
        <v>12</v>
      </c>
      <c r="B14" s="5">
        <v>0.13164069569354359</v>
      </c>
      <c r="C14" s="6" t="s">
        <v>13</v>
      </c>
    </row>
    <row r="15" spans="1:3" x14ac:dyDescent="0.25">
      <c r="A15" t="s">
        <v>14</v>
      </c>
      <c r="B15" s="5">
        <v>0.06388693891946866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0.84657</v>
      </c>
      <c r="C19" s="6" t="s">
        <v>21</v>
      </c>
    </row>
    <row r="20" spans="1:2" x14ac:dyDescent="0.25">
      <c r="A20" t="s">
        <v>22</v>
      </c>
      <c r="B20" s="9">
        <f>B17+B19*B18</f>
        <v>0.08474991100000001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22882224128</v>
      </c>
    </row>
    <row r="23" spans="1:2" x14ac:dyDescent="0.25">
      <c r="A23" t="s">
        <v>26</v>
      </c>
      <c r="B23" s="10">
        <v>4364900000</v>
      </c>
    </row>
    <row r="24" spans="1:2" x14ac:dyDescent="0.25">
      <c r="A24" t="s">
        <v>27</v>
      </c>
      <c r="B24" s="9">
        <f>B22/(B22+B23)</f>
        <v>0.8398032768708059</v>
      </c>
    </row>
    <row r="25" spans="1:2" x14ac:dyDescent="0.25">
      <c r="A25" t="s">
        <v>28</v>
      </c>
      <c r="B25" s="9">
        <f>1-B24</f>
        <v>0.16019672312919409</v>
      </c>
    </row>
    <row r="26" spans="1:2" x14ac:dyDescent="0.25">
      <c r="A26" t="s">
        <v>29</v>
      </c>
      <c r="B26" s="11">
        <f>B24*B20+B25*B21*(1-B8)</f>
        <v>0.0778730964450522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8989300000</v>
      </c>
      <c r="C29" s="6" t="s">
        <v>32</v>
      </c>
    </row>
    <row r="30" spans="1:2" x14ac:dyDescent="0.25">
      <c r="A30" t="s">
        <v>33</v>
      </c>
      <c r="B30" s="10">
        <v>3764100000</v>
      </c>
    </row>
    <row r="31" spans="1:2" x14ac:dyDescent="0.25">
      <c r="A31" t="s">
        <v>34</v>
      </c>
      <c r="B31" s="12">
        <v>89907085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0.12210856685170146</v>
      </c>
      <c r="C5" s="5">
        <v>0.08805414137751622</v>
      </c>
      <c r="D5" s="5">
        <v>0.08017237370532669</v>
      </c>
      <c r="E5" s="5">
        <v>0.07229060603313717</v>
      </c>
      <c r="F5" s="5">
        <v>0.06440883836094763</v>
      </c>
      <c r="G5" s="5">
        <v>0.056527070688758105</v>
      </c>
      <c r="H5" s="5">
        <v>0.04864530301656858</v>
      </c>
      <c r="I5" s="5">
        <v>0.04076353534437905</v>
      </c>
      <c r="J5" s="5">
        <v>0.03288176767218952</v>
      </c>
      <c r="K5" s="5">
        <v>0.024999999999999994</v>
      </c>
    </row>
    <row r="6" spans="1:11" x14ac:dyDescent="0.25">
      <c r="A6" t="s">
        <v>50</v>
      </c>
      <c r="B6" s="18">
        <f>Assumptions!B29*(1+B5)</f>
        <v>10086970540</v>
      </c>
      <c r="C6" s="18">
        <f>B6*(1+C5)</f>
        <v>10975170070.000002</v>
      </c>
      <c r="D6" s="18">
        <f>C6*(1+D5)</f>
        <v>11855075506.331558</v>
      </c>
      <c r="E6" s="18">
        <f>D6*(1+E5)</f>
        <v>12712086099.252867</v>
      </c>
      <c r="F6" s="18">
        <f>E6*(1+F5)</f>
        <v>13530856798.050093</v>
      </c>
      <c r="G6" s="18">
        <f>F6*(1+G5)</f>
        <v>14295716496.752934</v>
      </c>
      <c r="H6" s="18">
        <f>G6*(1+H5)</f>
        <v>14991135957.576437</v>
      </c>
      <c r="I6" s="18">
        <f>H6*(1+I5)</f>
        <v>15602227658.035498</v>
      </c>
      <c r="J6" s="18">
        <f>I6*(1+J5)</f>
        <v>16115256483.055632</v>
      </c>
      <c r="K6" s="18">
        <f>J6*(1+K5)</f>
        <v>16518137895.13202</v>
      </c>
    </row>
    <row r="7" spans="1:11" x14ac:dyDescent="0.25">
      <c r="A7" t="s">
        <v>4</v>
      </c>
      <c r="B7" s="9">
        <f>Assumptions!B7</f>
        <v>0.14941168064171292</v>
      </c>
      <c r="C7" s="9">
        <f>Assumptions!B7</f>
        <v>0.14941168064171292</v>
      </c>
      <c r="D7" s="9">
        <f>Assumptions!B7</f>
        <v>0.14941168064171292</v>
      </c>
      <c r="E7" s="9">
        <f>Assumptions!B7</f>
        <v>0.14941168064171292</v>
      </c>
      <c r="F7" s="9">
        <f>Assumptions!B7</f>
        <v>0.14941168064171292</v>
      </c>
      <c r="G7" s="9">
        <f>Assumptions!B7</f>
        <v>0.14941168064171292</v>
      </c>
      <c r="H7" s="9">
        <f>Assumptions!B7</f>
        <v>0.14941168064171292</v>
      </c>
      <c r="I7" s="9">
        <f>Assumptions!B7</f>
        <v>0.14941168064171292</v>
      </c>
      <c r="J7" s="9">
        <f>Assumptions!B7</f>
        <v>0.14941168064171292</v>
      </c>
      <c r="K7" s="9">
        <f>Assumptions!B7</f>
        <v>0.14941168064171292</v>
      </c>
    </row>
    <row r="8" spans="1:11" x14ac:dyDescent="0.25">
      <c r="A8" t="s">
        <v>51</v>
      </c>
      <c r="B8" s="18">
        <f>B6*B7</f>
        <v>1507111220.9648466</v>
      </c>
      <c r="C8" s="18">
        <f>C6*C7</f>
        <v>1639818605.4873264</v>
      </c>
      <c r="D8" s="18">
        <f>D6*D7</f>
        <v>1771286755.535404</v>
      </c>
      <c r="E8" s="18">
        <f>E6*E7</f>
        <v>1899334148.5515275</v>
      </c>
      <c r="F8" s="18">
        <f>F6*F7</f>
        <v>2021668054.7190108</v>
      </c>
      <c r="G8" s="18">
        <f>G6*G7</f>
        <v>2135947027.7573164</v>
      </c>
      <c r="H8" s="18">
        <f>H6*H7</f>
        <v>2239850818.14991</v>
      </c>
      <c r="I8" s="18">
        <f>I6*I7</f>
        <v>2331155056.1417003</v>
      </c>
      <c r="J8" s="18">
        <f>J6*J7</f>
        <v>2407807555.105602</v>
      </c>
      <c r="K8" s="18">
        <f>K6*K7</f>
        <v>2468002743.9832416</v>
      </c>
    </row>
    <row r="9" spans="1:11" x14ac:dyDescent="0.25">
      <c r="A9" t="s">
        <v>52</v>
      </c>
      <c r="B9" s="18">
        <f>B8*(1-Assumptions!B8)</f>
        <v>1190617864.562229</v>
      </c>
      <c r="C9" s="18">
        <f>C8*(1-Assumptions!B8)</f>
        <v>1295456698.3349879</v>
      </c>
      <c r="D9" s="18">
        <f>D8*(1-Assumptions!B8)</f>
        <v>1399316536.8729692</v>
      </c>
      <c r="E9" s="18">
        <f>E8*(1-Assumptions!B8)</f>
        <v>1500473977.3557067</v>
      </c>
      <c r="F9" s="18">
        <f>F8*(1-Assumptions!B8)</f>
        <v>1597117763.2280185</v>
      </c>
      <c r="G9" s="18">
        <f>G8*(1-Assumptions!B8)</f>
        <v>1687398151.9282799</v>
      </c>
      <c r="H9" s="18">
        <f>H8*(1-Assumptions!B8)</f>
        <v>1769482146.338429</v>
      </c>
      <c r="I9" s="18">
        <f>I8*(1-Assumptions!B8)</f>
        <v>1841612494.3519433</v>
      </c>
      <c r="J9" s="18">
        <f>J8*(1-Assumptions!B8)</f>
        <v>1902167968.5334256</v>
      </c>
      <c r="K9" s="18">
        <f>K8*(1-Assumptions!B8)</f>
        <v>1949722167.7467608</v>
      </c>
    </row>
    <row r="10" spans="1:11" x14ac:dyDescent="0.25">
      <c r="A10" t="s">
        <v>53</v>
      </c>
      <c r="B10" s="18">
        <f>B6*Assumptions!B9</f>
        <v>644425670.7714598</v>
      </c>
      <c r="C10" s="18">
        <f>C6*Assumptions!B9</f>
        <v>701170019.8928707</v>
      </c>
      <c r="D10" s="18">
        <f>D6*Assumptions!B9</f>
        <v>757384484.7586932</v>
      </c>
      <c r="E10" s="18">
        <f>E6*Assumptions!B9</f>
        <v>812136268.1619945</v>
      </c>
      <c r="F10" s="18">
        <f>F6*Assumptions!B9</f>
        <v>864445021.7851036</v>
      </c>
      <c r="G10" s="18">
        <f>G6*Assumptions!B9</f>
        <v>913309566.6380951</v>
      </c>
      <c r="H10" s="18">
        <f>H6*Assumptions!B9</f>
        <v>957737787.2551361</v>
      </c>
      <c r="I10" s="18">
        <f>I6*Assumptions!B9</f>
        <v>996778565.3965584</v>
      </c>
      <c r="J10" s="18">
        <f>J6*Assumptions!B9</f>
        <v>1029554406.6045464</v>
      </c>
      <c r="K10" s="18">
        <f>K6*Assumptions!B9</f>
        <v>1055293266.76966</v>
      </c>
    </row>
    <row r="11" spans="1:11" x14ac:dyDescent="0.25">
      <c r="A11" t="s">
        <v>54</v>
      </c>
      <c r="B11" s="18">
        <f>-B6*B19</f>
        <v>-830940391.3379356</v>
      </c>
      <c r="C11" s="18">
        <f>-C6*C19</f>
        <v>-908895156.685373</v>
      </c>
      <c r="D11" s="18">
        <f>-D6*D19</f>
        <v>-986934248.4674065</v>
      </c>
      <c r="E11" s="18">
        <f>-E6*E19</f>
        <v>-1063824933.9864718</v>
      </c>
      <c r="F11" s="18">
        <f>-F6*F19</f>
        <v>-1138246394.7132323</v>
      </c>
      <c r="G11" s="18">
        <f>-G6*G19</f>
        <v>-1208823469.2884297</v>
      </c>
      <c r="H11" s="18">
        <f>-H6*H19</f>
        <v>-1274165713.417019</v>
      </c>
      <c r="I11" s="18">
        <f>-I6*I19</f>
        <v>-1332910411.58701</v>
      </c>
      <c r="J11" s="18">
        <f>-J6*J19</f>
        <v>-1383767828.1201737</v>
      </c>
      <c r="K11" s="18">
        <f>-K6*K19</f>
        <v>-1425566714.0259833</v>
      </c>
    </row>
    <row r="12" spans="1:11" x14ac:dyDescent="0.25">
      <c r="A12" t="s">
        <v>55</v>
      </c>
      <c r="B12" s="18">
        <f>-(B6-Assumptions!B29)*Assumptions!B11</f>
        <v>-236003862.7538268</v>
      </c>
      <c r="C12" s="18">
        <f>-(C6-B6)*Assumptions!B11</f>
        <v>-190966699.3305058</v>
      </c>
      <c r="D12" s="18">
        <f>-(D6-C6)*Assumptions!B11</f>
        <v>-189183433.7034669</v>
      </c>
      <c r="E12" s="18">
        <f>-(E6-D6)*Assumptions!B11</f>
        <v>-184260944.4090357</v>
      </c>
      <c r="F12" s="18">
        <f>-(F6-E6)*Assumptions!B11</f>
        <v>-176039203.5535502</v>
      </c>
      <c r="G12" s="18">
        <f>-(G6-F6)*Assumptions!B11</f>
        <v>-164448107.86176202</v>
      </c>
      <c r="H12" s="18">
        <f>-(H6-G6)*Assumptions!B11</f>
        <v>-149518159.60053948</v>
      </c>
      <c r="I12" s="18">
        <f>-(I6-H6)*Assumptions!B11</f>
        <v>-131387330.30508661</v>
      </c>
      <c r="J12" s="18">
        <f>-(J6-I6)*Assumptions!B11</f>
        <v>-110303392.49954611</v>
      </c>
      <c r="K12" s="18">
        <f>-(K6-J6)*Assumptions!B11</f>
        <v>-86621227.42379887</v>
      </c>
    </row>
    <row r="13" spans="1:11" x14ac:dyDescent="0.25">
      <c r="A13" s="19" t="s">
        <v>56</v>
      </c>
      <c r="B13" s="20">
        <f>B9+B10+B11+B12</f>
        <v>768099281.2419264</v>
      </c>
      <c r="C13" s="20">
        <f>C9+C10+C11+C12</f>
        <v>896764862.2119799</v>
      </c>
      <c r="D13" s="20">
        <f>D9+D10+D11+D12</f>
        <v>980583339.460789</v>
      </c>
      <c r="E13" s="20">
        <f>E9+E10+E11+E12</f>
        <v>1064524367.1221938</v>
      </c>
      <c r="F13" s="20">
        <f>F9+F10+F11+F12</f>
        <v>1147277186.7463396</v>
      </c>
      <c r="G13" s="20">
        <f>G9+G10+G11+G12</f>
        <v>1227436141.416183</v>
      </c>
      <c r="H13" s="20">
        <f>H9+H10+H11+H12</f>
        <v>1303536060.5760067</v>
      </c>
      <c r="I13" s="20">
        <f>I9+I10+I11+I12</f>
        <v>1374093317.8564053</v>
      </c>
      <c r="J13" s="20">
        <f>J9+J10+J11+J12</f>
        <v>1437651154.5182521</v>
      </c>
      <c r="K13" s="20">
        <f>K9+K10+K11+K12</f>
        <v>1492827493.0666387</v>
      </c>
    </row>
    <row r="14" spans="1:11" x14ac:dyDescent="0.25">
      <c r="A14" t="s">
        <v>57</v>
      </c>
      <c r="B14" s="21">
        <f>1/(1+Assumptions!$B$26)^(1-0.5*Assumptions!$B$32)</f>
        <v>0.9631993568677535</v>
      </c>
      <c r="C14" s="21">
        <f>1/(1+Assumptions!$B$26)^(2-0.5*Assumptions!$B$32)</f>
        <v>0.8936110939631894</v>
      </c>
      <c r="D14" s="21">
        <f>1/(1+Assumptions!$B$26)^(3-0.5*Assumptions!$B$32)</f>
        <v>0.8290503742142002</v>
      </c>
      <c r="E14" s="21">
        <f>1/(1+Assumptions!$B$26)^(4-0.5*Assumptions!$B$32)</f>
        <v>0.7691539727158071</v>
      </c>
      <c r="F14" s="21">
        <f>1/(1+Assumptions!$B$26)^(5-0.5*Assumptions!$B$32)</f>
        <v>0.7135849064723521</v>
      </c>
      <c r="G14" s="21">
        <f>1/(1+Assumptions!$B$26)^(6-0.5*Assumptions!$B$32)</f>
        <v>0.6620305384983037</v>
      </c>
      <c r="H14" s="21">
        <f>1/(1+Assumptions!$B$26)^(7-0.5*Assumptions!$B$32)</f>
        <v>0.61420081889209</v>
      </c>
      <c r="I14" s="21">
        <f>1/(1+Assumptions!$B$26)^(8-0.5*Assumptions!$B$32)</f>
        <v>0.5698266529870668</v>
      </c>
      <c r="J14" s="21">
        <f>1/(1+Assumptions!$B$26)^(9-0.5*Assumptions!$B$32)</f>
        <v>0.5286583873986833</v>
      </c>
      <c r="K14" s="21">
        <f>1/(1+Assumptions!$B$26)^(10-0.5*Assumptions!$B$32)</f>
        <v>0.4904644054501951</v>
      </c>
    </row>
    <row r="15" spans="1:11" x14ac:dyDescent="0.25">
      <c r="A15" s="19" t="s">
        <v>58</v>
      </c>
      <c r="B15" s="20">
        <f>B13*B14</f>
        <v>739832733.7028073</v>
      </c>
      <c r="C15" s="20">
        <f>C13*C14</f>
        <v>801359029.5489961</v>
      </c>
      <c r="D15" s="20">
        <f>D13*D14</f>
        <v>812952984.5281773</v>
      </c>
      <c r="E15" s="20">
        <f>E13*E14</f>
        <v>818783146.0248157</v>
      </c>
      <c r="F15" s="20">
        <f>F13*F14</f>
        <v>818679684.00225</v>
      </c>
      <c r="G15" s="20">
        <f>G13*G14</f>
        <v>812600209.6740357</v>
      </c>
      <c r="H15" s="20">
        <f>H13*H14</f>
        <v>800632915.8611523</v>
      </c>
      <c r="I15" s="20">
        <f>I13*I14</f>
        <v>782994996.2060091</v>
      </c>
      <c r="J15" s="20">
        <f>J13*J14</f>
        <v>760026340.9894744</v>
      </c>
      <c r="K15" s="20">
        <f>K13*K14</f>
        <v>732178748.8266342</v>
      </c>
    </row>
    <row r="17" spans="1:2" x14ac:dyDescent="0.25">
      <c r="A17" s="22" t="s">
        <v>59</v>
      </c>
      <c r="B17" s="23">
        <f>SUM(B15:K15)</f>
        <v>7880040789.364352</v>
      </c>
    </row>
    <row r="19" spans="1:11" x14ac:dyDescent="0.25">
      <c r="A19" t="s">
        <v>7</v>
      </c>
      <c r="B19" s="9">
        <f>Assumptions!$B$10+($B$20-Assumptions!$B$10)*0/9</f>
        <v>0.08237759672667147</v>
      </c>
      <c r="C19" s="9">
        <f>Assumptions!$B$10+($B$20-Assumptions!$B$10)*1/9</f>
        <v>0.08281376515246773</v>
      </c>
      <c r="D19" s="9">
        <f>Assumptions!$B$10+($B$20-Assumptions!$B$10)*2/9</f>
        <v>0.08324993357826399</v>
      </c>
      <c r="E19" s="9">
        <f>Assumptions!$B$10+($B$20-Assumptions!$B$10)*3/9</f>
        <v>0.08368610200406025</v>
      </c>
      <c r="F19" s="9">
        <f>Assumptions!$B$10+($B$20-Assumptions!$B$10)*4/9</f>
        <v>0.08412227042985651</v>
      </c>
      <c r="G19" s="9">
        <f>Assumptions!$B$10+($B$20-Assumptions!$B$10)*5/9</f>
        <v>0.08455843885565278</v>
      </c>
      <c r="H19" s="9">
        <f>Assumptions!$B$10+($B$20-Assumptions!$B$10)*6/9</f>
        <v>0.08499460728144904</v>
      </c>
      <c r="I19" s="9">
        <f>Assumptions!$B$10+($B$20-Assumptions!$B$10)*7/9</f>
        <v>0.0854307757072453</v>
      </c>
      <c r="J19" s="9">
        <f>Assumptions!$B$10+($B$20-Assumptions!$B$10)*8/9</f>
        <v>0.08586694413304156</v>
      </c>
      <c r="K19" s="9">
        <f>Assumptions!$B$10+($B$20-Assumptions!$B$10)*9/9</f>
        <v>0.08630311255883782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0.08630311255883782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1492827493.0666387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1949722167.7467608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0.18991087724269862</v>
      </c>
    </row>
    <row r="7" spans="1:2" x14ac:dyDescent="0.25">
      <c r="A7" t="s">
        <v>66</v>
      </c>
      <c r="B7" s="18">
        <f>-MAX(B5,0)*B6</f>
        <v>-370273447.25632334</v>
      </c>
    </row>
    <row r="8" spans="1:2" x14ac:dyDescent="0.25">
      <c r="A8" t="s">
        <v>67</v>
      </c>
      <c r="B8" s="18">
        <f>IF(OR(Assumptions!$B$33=0,Assumptions!B12&lt;=0),B5,MAX(B5+B7,0))</f>
        <v>1579448720.4904375</v>
      </c>
    </row>
    <row r="9" spans="1:2" x14ac:dyDescent="0.25">
      <c r="A9" t="s">
        <v>68</v>
      </c>
      <c r="B9" s="18">
        <f>B8*(1+Assumptions!B12)/(Assumptions!B26-Assumptions!B12)</f>
        <v>30619257190.3777</v>
      </c>
    </row>
    <row r="10" spans="1:2" x14ac:dyDescent="0.25">
      <c r="A10" t="s">
        <v>69</v>
      </c>
      <c r="B10" s="18">
        <f>B9/(1+Assumptions!B26)^(10-0.5*Assumptions!B32)</f>
        <v>15017655773.20521</v>
      </c>
    </row>
    <row r="11" spans="1:2" x14ac:dyDescent="0.25">
      <c r="A11" t="s">
        <v>70</v>
      </c>
      <c r="B11" s="18">
        <f>Forecast!B17+B10</f>
        <v>22897696562.56956</v>
      </c>
    </row>
    <row r="12" spans="1:2" x14ac:dyDescent="0.25">
      <c r="A12" t="s">
        <v>71</v>
      </c>
      <c r="B12" s="18">
        <f>-Assumptions!B30</f>
        <v>-3764100000</v>
      </c>
    </row>
    <row r="13" spans="1:2" x14ac:dyDescent="0.25">
      <c r="A13" t="s">
        <v>72</v>
      </c>
      <c r="B13" s="18">
        <f>B11+B12</f>
        <v>19133596562.56956</v>
      </c>
    </row>
    <row r="14" spans="1:2" x14ac:dyDescent="0.25">
      <c r="A14" s="19" t="s">
        <v>73</v>
      </c>
      <c r="B14" s="24">
        <f>B13/Assumptions!B31</f>
        <v>212.81522543601054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3523296010.7529016</v>
      </c>
    </row>
    <row r="18" spans="1:2" x14ac:dyDescent="0.25">
      <c r="A18" t="s">
        <v>68</v>
      </c>
      <c r="B18" s="18">
        <f>B17*Assumptions!B13</f>
        <v>49199710460.859024</v>
      </c>
    </row>
    <row r="19" spans="1:2" x14ac:dyDescent="0.25">
      <c r="A19" t="s">
        <v>69</v>
      </c>
      <c r="B19" s="18">
        <f>B18/(1+Assumptions!B26)^(10-0.5*Assumptions!B32)</f>
        <v>24130706739.506966</v>
      </c>
    </row>
    <row r="20" spans="1:2" x14ac:dyDescent="0.25">
      <c r="A20" t="s">
        <v>70</v>
      </c>
      <c r="B20" s="18">
        <f>Forecast!B17+B19</f>
        <v>32010747528.87132</v>
      </c>
    </row>
    <row r="21" spans="1:2" x14ac:dyDescent="0.25">
      <c r="A21" t="s">
        <v>71</v>
      </c>
      <c r="B21" s="18">
        <f>-Assumptions!B30</f>
        <v>-3764100000</v>
      </c>
    </row>
    <row r="22" spans="1:2" x14ac:dyDescent="0.25">
      <c r="A22" t="s">
        <v>72</v>
      </c>
      <c r="B22" s="18">
        <f>B20+B21</f>
        <v>28246647528.87132</v>
      </c>
    </row>
    <row r="23" spans="1:2" x14ac:dyDescent="0.25">
      <c r="A23" s="19" t="s">
        <v>73</v>
      </c>
      <c r="B23" s="25">
        <f>B22/Assumptions!B31</f>
        <v>314.1759910119577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256.82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212.81522543601054</v>
      </c>
    </row>
    <row r="29" spans="1:2" x14ac:dyDescent="0.25">
      <c r="A29" s="19" t="s">
        <v>81</v>
      </c>
      <c r="B29" s="11">
        <f>B28/B26-1</f>
        <v>-0.1713448117903179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0.057873</v>
      </c>
      <c r="B5" s="31">
        <v>326.08873336417173</v>
      </c>
      <c r="C5" s="31">
        <v>347.23312552953297</v>
      </c>
      <c r="D5" s="31">
        <v>375.43397819837264</v>
      </c>
      <c r="E5" s="31">
        <v>414.48876231218117</v>
      </c>
      <c r="F5" s="31">
        <v>471.51543230083394</v>
      </c>
    </row>
    <row r="6" spans="1:6" x14ac:dyDescent="0.25">
      <c r="A6" s="30">
        <v>0.067873</v>
      </c>
      <c r="B6" s="31">
        <v>252.38704469285702</v>
      </c>
      <c r="C6" s="31">
        <v>262.32425283028454</v>
      </c>
      <c r="D6" s="31">
        <v>275.03117065621683</v>
      </c>
      <c r="E6" s="31">
        <v>291.60477082472363</v>
      </c>
      <c r="F6" s="31">
        <v>313.80942638172735</v>
      </c>
    </row>
    <row r="7" spans="1:6" x14ac:dyDescent="0.25">
      <c r="A7" s="30">
        <v>0.077873</v>
      </c>
      <c r="B7" s="31">
        <v>202.3906576708573</v>
      </c>
      <c r="C7" s="31">
        <v>206.9946972173152</v>
      </c>
      <c r="D7" s="32">
        <v>212.81571103801454</v>
      </c>
      <c r="E7" s="31">
        <v>220.23501248523368</v>
      </c>
      <c r="F7" s="31">
        <v>229.81179532656054</v>
      </c>
    </row>
    <row r="8" spans="1:6" x14ac:dyDescent="0.25">
      <c r="A8" s="30">
        <v>0.087873</v>
      </c>
      <c r="B8" s="31">
        <v>166.3224116876031</v>
      </c>
      <c r="C8" s="31">
        <v>168.1537827265574</v>
      </c>
      <c r="D8" s="31">
        <v>170.5517448922465</v>
      </c>
      <c r="E8" s="31">
        <v>173.66315193168592</v>
      </c>
      <c r="F8" s="31">
        <v>177.69040720966012</v>
      </c>
    </row>
    <row r="9" spans="1:6" x14ac:dyDescent="0.25">
      <c r="A9" s="30">
        <v>0.097873</v>
      </c>
      <c r="B9" s="31">
        <v>139.12575329191543</v>
      </c>
      <c r="C9" s="31">
        <v>139.43631266442372</v>
      </c>
      <c r="D9" s="31">
        <v>140.01429615307504</v>
      </c>
      <c r="E9" s="31">
        <v>140.91880475152155</v>
      </c>
      <c r="F9" s="31">
        <v>142.2277395722746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8989300000</v>
      </c>
      <c r="C5" s="18">
        <v>8383300000</v>
      </c>
      <c r="D5" s="18">
        <v>7802400000</v>
      </c>
      <c r="E5" s="18">
        <v>8478000000</v>
      </c>
      <c r="F5" s="6" t="s">
        <v>91</v>
      </c>
    </row>
    <row r="6" spans="1:6" x14ac:dyDescent="0.25">
      <c r="A6" t="s">
        <v>51</v>
      </c>
      <c r="B6" s="18">
        <v>1255400000</v>
      </c>
      <c r="C6" s="18">
        <v>1172800000</v>
      </c>
      <c r="D6" s="18">
        <v>1118000000</v>
      </c>
      <c r="E6" s="18">
        <v>1482000000</v>
      </c>
      <c r="F6" s="6" t="s">
        <v>92</v>
      </c>
    </row>
    <row r="7" spans="1:6" x14ac:dyDescent="0.25">
      <c r="A7" t="s">
        <v>93</v>
      </c>
      <c r="B7" s="18">
        <v>652800000</v>
      </c>
      <c r="C7" s="18">
        <v>525600000</v>
      </c>
      <c r="D7" s="18">
        <v>517700000</v>
      </c>
      <c r="E7" s="18">
        <v>456800000</v>
      </c>
      <c r="F7" s="6" t="s">
        <v>94</v>
      </c>
    </row>
    <row r="8" spans="1:6" x14ac:dyDescent="0.25">
      <c r="A8" t="s">
        <v>95</v>
      </c>
      <c r="B8" s="18">
        <v>828900000</v>
      </c>
      <c r="C8" s="18">
        <v>669700000</v>
      </c>
      <c r="D8" s="18">
        <v>469700000</v>
      </c>
      <c r="E8" s="18">
        <v>824200000</v>
      </c>
      <c r="F8" s="6" t="s">
        <v>96</v>
      </c>
    </row>
    <row r="9" spans="1:6" x14ac:dyDescent="0.25">
      <c r="A9" t="s">
        <v>97</v>
      </c>
      <c r="B9" s="18">
        <v>54700000</v>
      </c>
      <c r="C9" s="18">
        <v>210600000</v>
      </c>
      <c r="D9" s="18">
        <v>6800000</v>
      </c>
      <c r="E9" s="18">
        <v>85100000</v>
      </c>
      <c r="F9" s="6" t="s">
        <v>98</v>
      </c>
    </row>
    <row r="10" spans="1:6" x14ac:dyDescent="0.25">
      <c r="A10" t="s">
        <v>99</v>
      </c>
      <c r="B10" s="18">
        <v>4364900000</v>
      </c>
      <c r="C10" s="18">
        <v>2771500000</v>
      </c>
      <c r="D10" s="18">
        <v>3173200000</v>
      </c>
      <c r="E10" s="18">
        <v>2793100000</v>
      </c>
      <c r="F10" s="6" t="s">
        <v>100</v>
      </c>
    </row>
    <row r="11" spans="1:6" x14ac:dyDescent="0.25">
      <c r="A11" t="s">
        <v>101</v>
      </c>
      <c r="B11" s="18">
        <v>600800000</v>
      </c>
      <c r="C11" s="18">
        <v>787000000</v>
      </c>
      <c r="D11" s="18">
        <v>1141500000</v>
      </c>
      <c r="E11" s="18">
        <v>405200000</v>
      </c>
      <c r="F11" s="6" t="s">
        <v>102</v>
      </c>
    </row>
    <row r="12" spans="1:6" x14ac:dyDescent="0.25">
      <c r="A12" t="s">
        <v>34</v>
      </c>
      <c r="B12" s="34">
        <v>89907085</v>
      </c>
      <c r="C12" s="34">
        <v>89754738</v>
      </c>
      <c r="D12" s="34">
        <v>89625000</v>
      </c>
      <c r="E12" s="34">
        <v>92942238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