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<sst xmlns="http://schemas.openxmlformats.org/spreadsheetml/2006/main" count="112" uniqueCount="100">
  <si>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Packaging Corporation of America (PKG)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</si>
  <si>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</si>
  <si>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</si>
  <si>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</si>
  <si>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</si>
  <si>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</si>
  <si>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</si>
  <si>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</si>
  <si>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</si>
  <si>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</si>
  <si>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</si>
  <si>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</si>
  <si>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</si>
  <si>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</si>
  <si>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</si>
  <si>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</si>
  <si>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</si>
  <si>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</si>
  <si>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</si>
  <si>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</si>
  <si>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</si>
  <si>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</si>
  <si>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</si>
  <si>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</si>
  <si>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</si>
  <si>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</si>
  <si>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</si>
  <si>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</si>
  <si>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</si>
  <si>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</si>
  <si>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</si>
  <si>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</si>
  <si>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</si>
  <si>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</si>
  <si>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</si>
  <si>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</si>
  <si>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</si>
  <si>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</si>
  <si>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</si>
  <si>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</si>
  <si>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</si>
  <si>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</si>
  <si>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</si>
  <si>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</si>
  <si>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</si>
  <si>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</si>
  <si>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</si>
  <si>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</si>
  <si>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</si>
  <si>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</si>
  <si>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</si>
  <si>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</si>
  <si>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</si>
  <si>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</si>
  <si>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</si>
  <si>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</si>
  <si>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</si>
  <si>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</si>
  <si>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</si>
  <si>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</si>
  <si>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</si>
  <si>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</si>
  <si>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</si>
  <si>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</si>
  <si>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</si>
  <si>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</si>
  <si>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</si>
  <si>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</si>
  <si>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</si>
  <si>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</si>
  <si>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</si>
  <si>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</si>
  <si>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</si>
  <si>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</si>
  <si>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</si>
  <si>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</si>
  <si>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</si>
  <si>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</si>
  <si>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</si>
  <si>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</si>
  <si>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</si>
  <si>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</si>
  <si>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</si>
  <si>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</si>
  <si>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</si>
  <si>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</si>
  <si>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</si>
  <si>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</si>
  <si>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</si>
  <si>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</si>
  <si>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</si>
  <si>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</si>
  <si>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</si>
  <si>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</si>
  <si>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</si>
  <si>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</si>
  <si>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</si>
  <si>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</si>
  <si>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8.2% of revenue against depreciation of 6.4%.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</si>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</sst>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0.019711899650188602</v>
      </c>
    </row>
    <row r="7" spans="1:2" x14ac:dyDescent="0.25">
      <c r="A7" t="s">
        <v>5</v>
      </c>
      <c r="B7" s="6">
        <v>0.14941168064171292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0.06388693891946866</v>
      </c>
    </row>
    <row r="10" spans="1:2" x14ac:dyDescent="0.25">
      <c r="A10" t="s">
        <v>8</v>
      </c>
      <c r="B10" s="6">
        <v>0.08237759672667147</v>
      </c>
    </row>
    <row r="11" spans="1:2" x14ac:dyDescent="0.25">
      <c r="A11" t="s">
        <v>9</v>
      </c>
      <c r="B11" s="6">
        <v>0.09026402640264027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12.841164406246724</v>
      </c>
    </row>
    <row r="14" spans="1:3" x14ac:dyDescent="0.25">
      <c r="A14" t="s">
        <v>12</v>
      </c>
      <c r="B14" s="6">
        <v>0.13164069569354359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0.86399</v>
      </c>
      <c r="C19" s="8" t="s">
        <v>19</v>
      </c>
    </row>
    <row r="20" spans="1:2" x14ac:dyDescent="0.25">
      <c r="A20" t="s">
        <v>20</v>
      </c>
      <c r="B20" s="10">
        <f>B17+B19*B18</f>
        <v>0.09749945000000002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20739409920</v>
      </c>
    </row>
    <row r="23" spans="1:2" x14ac:dyDescent="0.25">
      <c r="A23" t="s">
        <v>24</v>
      </c>
      <c r="B23" s="11">
        <v>4364900000</v>
      </c>
    </row>
    <row r="24" spans="1:2" x14ac:dyDescent="0.25">
      <c r="A24" t="s">
        <v>25</v>
      </c>
      <c r="B24" s="10">
        <f>B22/(B22+B23)</f>
        <v>0.8261294568976545</v>
      </c>
    </row>
    <row r="25" spans="1:2" x14ac:dyDescent="0.25">
      <c r="A25" t="s">
        <v>26</v>
      </c>
      <c r="B25" s="10">
        <f>1-B24</f>
        <v>0.1738705431023455</v>
      </c>
    </row>
    <row r="26" spans="1:2" x14ac:dyDescent="0.25">
      <c r="A26" t="s">
        <v>27</v>
      </c>
      <c r="B26" s="12">
        <f>B24*B20+B25*B21*(1-B8)</f>
        <v>0.08741230697428166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8989300000</v>
      </c>
      <c r="C29" s="8" t="s">
        <v>30</v>
      </c>
    </row>
    <row r="30" spans="1:2" x14ac:dyDescent="0.25">
      <c r="A30" t="s">
        <v>31</v>
      </c>
      <c r="B30" s="11">
        <v>3764100000</v>
      </c>
    </row>
    <row r="31" spans="1:2" x14ac:dyDescent="0.25">
      <c r="A31" t="s">
        <v>32</v>
      </c>
      <c r="B31" s="13">
        <v>89907085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0.019711899650188602</v>
      </c>
      <c r="C5" s="10">
        <f>Assumptions!B6</f>
        <v>0.019711899650188602</v>
      </c>
      <c r="D5" s="10">
        <f>Assumptions!B6</f>
        <v>0.019711899650188602</v>
      </c>
      <c r="E5" s="10">
        <f>Assumptions!B6</f>
        <v>0.019711899650188602</v>
      </c>
      <c r="F5" s="10">
        <f>Assumptions!B6</f>
        <v>0.019711899650188602</v>
      </c>
    </row>
    <row r="6" spans="1:6" x14ac:dyDescent="0.25">
      <c r="A6" t="s">
        <v>43</v>
      </c>
      <c r="B6" s="18">
        <f>Assumptions!B29*(1+B5)</f>
        <v>9166496179.52544</v>
      </c>
      <c r="C6" s="18">
        <f>B6*(1+C5)</f>
        <v>9347185232.360083</v>
      </c>
      <c r="D6" s="18">
        <f>C6*(1+D5)</f>
        <v>9531436009.672089</v>
      </c>
      <c r="E6" s="18">
        <f>D6*(1+E5)</f>
        <v>9719318719.816938</v>
      </c>
      <c r="F6" s="18">
        <f>E6*(1+F5)</f>
        <v>9910904955.09017</v>
      </c>
    </row>
    <row r="7" spans="1:6" x14ac:dyDescent="0.25">
      <c r="A7" t="s">
        <v>5</v>
      </c>
      <c r="B7" s="10">
        <f>Assumptions!B7</f>
        <v>0.14941168064171292</v>
      </c>
      <c r="C7" s="10">
        <f>Assumptions!B7</f>
        <v>0.14941168064171292</v>
      </c>
      <c r="D7" s="10">
        <f>Assumptions!B7</f>
        <v>0.14941168064171292</v>
      </c>
      <c r="E7" s="10">
        <f>Assumptions!B7</f>
        <v>0.14941168064171292</v>
      </c>
      <c r="F7" s="10">
        <f>Assumptions!B7</f>
        <v>0.14941168064171292</v>
      </c>
    </row>
    <row r="8" spans="1:6" x14ac:dyDescent="0.25">
      <c r="A8" t="s">
        <v>44</v>
      </c>
      <c r="B8" s="18">
        <f>B6*B7</f>
        <v>1369581599.7787366</v>
      </c>
      <c r="C8" s="18">
        <f>C6*C7</f>
        <v>1396578654.83632</v>
      </c>
      <c r="D8" s="18">
        <f>D6*D7</f>
        <v>1424107873.1340487</v>
      </c>
      <c r="E8" s="18">
        <f>E6*E7</f>
        <v>1452179744.6203105</v>
      </c>
      <c r="F8" s="18">
        <f>F6*F7</f>
        <v>1480804966.0203025</v>
      </c>
    </row>
    <row r="9" spans="1:6" x14ac:dyDescent="0.25">
      <c r="A9" t="s">
        <v>45</v>
      </c>
      <c r="B9" s="18">
        <f>B8*(1-Assumptions!B8)</f>
        <v>1081969463.825202</v>
      </c>
      <c r="C9" s="18">
        <f>C8*(1-Assumptions!B8)</f>
        <v>1103297137.3206928</v>
      </c>
      <c r="D9" s="18">
        <f>D8*(1-Assumptions!B8)</f>
        <v>1125045219.7758985</v>
      </c>
      <c r="E9" s="18">
        <f>E8*(1-Assumptions!B8)</f>
        <v>1147221998.2500453</v>
      </c>
      <c r="F9" s="18">
        <f>F8*(1-Assumptions!B8)</f>
        <v>1169835923.156039</v>
      </c>
    </row>
    <row r="10" spans="1:6" x14ac:dyDescent="0.25">
      <c r="A10" t="s">
        <v>46</v>
      </c>
      <c r="B10" s="18">
        <f>B6*Assumptions!B9</f>
        <v>585619381.5268846</v>
      </c>
      <c r="C10" s="18">
        <f>C6*Assumptions!B9</f>
        <v>597163052.008748</v>
      </c>
      <c r="D10" s="18">
        <f>D6*Assumptions!B9</f>
        <v>608934270.1647449</v>
      </c>
      <c r="E10" s="18">
        <f>E6*Assumptions!B9</f>
        <v>620937521.391793</v>
      </c>
      <c r="F10" s="18">
        <f>F6*Assumptions!B9</f>
        <v>633177379.502505</v>
      </c>
    </row>
    <row r="11" spans="1:6" x14ac:dyDescent="0.25">
      <c r="A11" t="s">
        <v>47</v>
      </c>
      <c r="B11" s="18">
        <f>-B6*Assumptions!B10</f>
        <v>-755113925.6735214</v>
      </c>
      <c r="C11" s="18">
        <f>-C6*Assumptions!B10</f>
        <v>-769998655.6008579</v>
      </c>
      <c r="D11" s="18">
        <f>-D6*Assumptions!B10</f>
        <v>-785176791.830842</v>
      </c>
      <c r="E11" s="18">
        <f>-E6*Assumptions!B10</f>
        <v>-800654117.9590685</v>
      </c>
      <c r="F11" s="18">
        <f>-F6*Assumptions!B10</f>
        <v>-816436531.586788</v>
      </c>
    </row>
    <row r="12" spans="1:6" x14ac:dyDescent="0.25">
      <c r="A12" t="s">
        <v>48</v>
      </c>
      <c r="B12" s="18">
        <f>-(B6-Assumptions!B29)*Assumptions!B11</f>
        <v>-15994440.62713132</v>
      </c>
      <c r="C12" s="18">
        <f>-(C6-B6)*Assumptions!B11</f>
        <v>-16309721.435734224</v>
      </c>
      <c r="D12" s="18">
        <f>-(D6-C6)*Assumptions!B11</f>
        <v>-16631217.027997902</v>
      </c>
      <c r="E12" s="18">
        <f>-(E6-D6)*Assumptions!B11</f>
        <v>-16959049.909114327</v>
      </c>
      <c r="F12" s="18">
        <f>-(F6-E6)*Assumptions!B11</f>
        <v>-17293344.99908542</v>
      </c>
    </row>
    <row r="13" spans="1:6" x14ac:dyDescent="0.25">
      <c r="A13" s="19" t="s">
        <v>49</v>
      </c>
      <c r="B13" s="20">
        <f>B9+B10+B11+B12</f>
        <v>896480479.0514338</v>
      </c>
      <c r="C13" s="20">
        <f>C9+C10+C11+C12</f>
        <v>914151812.2928487</v>
      </c>
      <c r="D13" s="20">
        <f>D9+D10+D11+D12</f>
        <v>932171481.0818034</v>
      </c>
      <c r="E13" s="20">
        <f>E9+E10+E11+E12</f>
        <v>950546351.7736554</v>
      </c>
      <c r="F13" s="20">
        <f>F9+F10+F11+F12</f>
        <v>969283426.0726706</v>
      </c>
    </row>
    <row r="14" spans="1:6" x14ac:dyDescent="0.25">
      <c r="A14" t="s">
        <v>50</v>
      </c>
      <c r="B14" s="21">
        <f>1/(1+Assumptions!$B$26)^(1-0.5*Assumptions!$B$32)</f>
        <v>0.958965267918474</v>
      </c>
      <c r="C14" s="21">
        <f>1/(1+Assumptions!$B$26)^(2-0.5*Assumptions!$B$32)</f>
        <v>0.8818782551641238</v>
      </c>
      <c r="D14" s="21">
        <f>1/(1+Assumptions!$B$26)^(3-0.5*Assumptions!$B$32)</f>
        <v>0.8109879293328442</v>
      </c>
      <c r="E14" s="21">
        <f>1/(1+Assumptions!$B$26)^(4-0.5*Assumptions!$B$32)</f>
        <v>0.7457961659358201</v>
      </c>
      <c r="F14" s="21">
        <f>1/(1+Assumptions!$B$26)^(5-0.5*Assumptions!$B$32)</f>
        <v>0.6858448825275792</v>
      </c>
    </row>
    <row r="15" spans="1:6" x14ac:dyDescent="0.25">
      <c r="A15" s="19" t="s">
        <v>51</v>
      </c>
      <c r="B15" s="20">
        <f>B13*B14</f>
        <v>859693642.7772402</v>
      </c>
      <c r="C15" s="20">
        <f>C13*C14</f>
        <v>806170605.179939</v>
      </c>
      <c r="D15" s="20">
        <f>D13*D14</f>
        <v>755979819.2256624</v>
      </c>
      <c r="E15" s="20">
        <f>E13*E14</f>
        <v>708913824.6970736</v>
      </c>
      <c r="F15" s="20">
        <f>F13*F14</f>
        <v>664778077.4907403</v>
      </c>
    </row>
    <row r="17" spans="1:2" x14ac:dyDescent="0.25">
      <c r="A17" s="22" t="s">
        <v>52</v>
      </c>
      <c r="B17" s="23">
        <f>SUM(B15:F15)</f>
        <v>3795535969.370655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969283426.0726706</v>
      </c>
    </row>
    <row r="5" spans="1:2" x14ac:dyDescent="0.25">
      <c r="A5" t="s">
        <v>56</v>
      </c>
      <c r="B5" s="18">
        <f>IF(Assumptions!$B$33=0,B4,B4-Forecast!F11-Forecast!F10-Forecast!F12)</f>
        <v>1169835923.156039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0.18991087724269862</v>
      </c>
    </row>
    <row r="7" spans="1:2" x14ac:dyDescent="0.25">
      <c r="A7" t="s">
        <v>58</v>
      </c>
      <c r="B7" s="18">
        <f>-MAX(Forecast!F9,0)*B6</f>
        <v>-222164566.39658552</v>
      </c>
    </row>
    <row r="8" spans="1:2" x14ac:dyDescent="0.25">
      <c r="A8" t="s">
        <v>59</v>
      </c>
      <c r="B8" s="18">
        <f>IF(OR(Assumptions!$B$33=0,Assumptions!B12&lt;=0),B5,MAX(B5+B7,0))</f>
        <v>947671356.7594535</v>
      </c>
    </row>
    <row r="9" spans="1:2" x14ac:dyDescent="0.25">
      <c r="A9" t="s">
        <v>60</v>
      </c>
      <c r="B9" s="18">
        <f>B8*(1+Assumptions!B12)/(Assumptions!B26-Assumptions!B12)</f>
        <v>15563647424.196495</v>
      </c>
    </row>
    <row r="10" spans="1:2" x14ac:dyDescent="0.25">
      <c r="A10" t="s">
        <v>61</v>
      </c>
      <c r="B10" s="18">
        <f>B9/(1+Assumptions!B26)^(5-0.5*Assumptions!B32)</f>
        <v>10674247939.348707</v>
      </c>
    </row>
    <row r="11" spans="1:2" x14ac:dyDescent="0.25">
      <c r="A11" t="s">
        <v>62</v>
      </c>
      <c r="B11" s="18">
        <f>Forecast!B17+B10</f>
        <v>14469783908.719362</v>
      </c>
    </row>
    <row r="12" spans="1:2" x14ac:dyDescent="0.25">
      <c r="A12" t="s">
        <v>63</v>
      </c>
      <c r="B12" s="18">
        <f>-Assumptions!B30</f>
        <v>-3764100000</v>
      </c>
    </row>
    <row r="13" spans="1:2" x14ac:dyDescent="0.25">
      <c r="A13" t="s">
        <v>64</v>
      </c>
      <c r="B13" s="18">
        <f>B11+B12</f>
        <v>10705683908.719362</v>
      </c>
    </row>
    <row r="14" spans="1:2" x14ac:dyDescent="0.25">
      <c r="A14" s="19" t="s">
        <v>65</v>
      </c>
      <c r="B14" s="24">
        <f>B13/Assumptions!B31</f>
        <v>119.07497511146494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2113982345.5228076</v>
      </c>
    </row>
    <row r="18" spans="1:2" x14ac:dyDescent="0.25">
      <c r="A18" t="s">
        <v>60</v>
      </c>
      <c r="B18" s="18">
        <f>B17*Assumptions!B13</f>
        <v>27145994850.76144</v>
      </c>
    </row>
    <row r="19" spans="1:2" x14ac:dyDescent="0.25">
      <c r="A19" t="s">
        <v>61</v>
      </c>
      <c r="B19" s="18">
        <f>B18/(1+Assumptions!B26)^(5-0.5*Assumptions!B32)</f>
        <v>18617941649.51475</v>
      </c>
    </row>
    <row r="20" spans="1:2" x14ac:dyDescent="0.25">
      <c r="A20" t="s">
        <v>62</v>
      </c>
      <c r="B20" s="18">
        <f>Forecast!B17+B19</f>
        <v>22413477618.885406</v>
      </c>
    </row>
    <row r="21" spans="1:2" x14ac:dyDescent="0.25">
      <c r="A21" t="s">
        <v>63</v>
      </c>
      <c r="B21" s="18">
        <f>-Assumptions!B30</f>
        <v>-3764100000</v>
      </c>
    </row>
    <row r="22" spans="1:2" x14ac:dyDescent="0.25">
      <c r="A22" t="s">
        <v>64</v>
      </c>
      <c r="B22" s="18">
        <f>B20+B21</f>
        <v>18649377618.885406</v>
      </c>
    </row>
    <row r="23" spans="1:2" x14ac:dyDescent="0.25">
      <c r="A23" s="19" t="s">
        <v>65</v>
      </c>
      <c r="B23" s="25">
        <f>B22/Assumptions!B31</f>
        <v>207.42945474080722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232.77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119.07497511146494</v>
      </c>
    </row>
    <row r="29" spans="1:2" x14ac:dyDescent="0.25">
      <c r="A29" s="19" t="s">
        <v>73</v>
      </c>
      <c r="B29" s="12">
        <f>B28/B26-1</f>
        <v>-0.48844363486933484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0.067412</v>
      </c>
      <c r="B5" s="31">
        <v>168.73341527480534</v>
      </c>
      <c r="C5" s="31">
        <v>179.26809827131936</v>
      </c>
      <c r="D5" s="31">
        <v>192.19979173686545</v>
      </c>
      <c r="E5" s="31">
        <v>208.4895551452887</v>
      </c>
      <c r="F5" s="31">
        <v>229.69147491961596</v>
      </c>
    </row>
    <row r="6" spans="1:6" x14ac:dyDescent="0.25">
      <c r="A6" s="30">
        <v>0.077412</v>
      </c>
      <c r="B6" s="31">
        <v>135.33977735007133</v>
      </c>
      <c r="C6" s="31">
        <v>141.45458226428343</v>
      </c>
      <c r="D6" s="31">
        <v>148.66865165443443</v>
      </c>
      <c r="E6" s="31">
        <v>157.32976597988238</v>
      </c>
      <c r="F6" s="31">
        <v>167.9497066711058</v>
      </c>
    </row>
    <row r="7" spans="1:6" x14ac:dyDescent="0.25">
      <c r="A7" s="30">
        <v>0.087412</v>
      </c>
      <c r="B7" s="31">
        <v>111.18365620329911</v>
      </c>
      <c r="C7" s="31">
        <v>114.86215655685677</v>
      </c>
      <c r="D7" s="32">
        <v>119.07573815059193</v>
      </c>
      <c r="E7" s="31">
        <v>123.96420135032815</v>
      </c>
      <c r="F7" s="31">
        <v>129.7206932233404</v>
      </c>
    </row>
    <row r="8" spans="1:6" x14ac:dyDescent="0.25">
      <c r="A8" s="30">
        <v>0.097412</v>
      </c>
      <c r="B8" s="31">
        <v>92.90153370334625</v>
      </c>
      <c r="C8" s="31">
        <v>95.14198131236776</v>
      </c>
      <c r="D8" s="31">
        <v>97.6469120484052</v>
      </c>
      <c r="E8" s="31">
        <v>100.47517666362798</v>
      </c>
      <c r="F8" s="31">
        <v>103.70448470408135</v>
      </c>
    </row>
    <row r="9" spans="1:6" x14ac:dyDescent="0.25">
      <c r="A9" s="30">
        <v>0.107412</v>
      </c>
      <c r="B9" s="31">
        <v>78.58582152578606</v>
      </c>
      <c r="C9" s="31">
        <v>79.93527576642788</v>
      </c>
      <c r="D9" s="31">
        <v>81.41058450416482</v>
      </c>
      <c r="E9" s="31">
        <v>83.03613436453851</v>
      </c>
      <c r="F9" s="31">
        <v>84.8430474935959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8989300000</v>
      </c>
      <c r="C5" s="18">
        <v>8383300000</v>
      </c>
      <c r="D5" s="18">
        <v>7802400000</v>
      </c>
      <c r="E5" s="18">
        <v>8478000000</v>
      </c>
      <c r="F5" s="8" t="s">
        <v>84</v>
      </c>
    </row>
    <row r="6" spans="1:6" x14ac:dyDescent="0.25">
      <c r="A6" t="s">
        <v>44</v>
      </c>
      <c r="B6" s="18">
        <v>1255400000</v>
      </c>
      <c r="C6" s="18">
        <v>1172800000</v>
      </c>
      <c r="D6" s="18">
        <v>1118000000</v>
      </c>
      <c r="E6" s="18">
        <v>1482000000</v>
      </c>
      <c r="F6" s="8" t="s">
        <v>85</v>
      </c>
    </row>
    <row r="7" spans="1:6" x14ac:dyDescent="0.25">
      <c r="A7" t="s">
        <v>86</v>
      </c>
      <c r="B7" s="18">
        <v>652800000</v>
      </c>
      <c r="C7" s="18">
        <v>525600000</v>
      </c>
      <c r="D7" s="18">
        <v>517700000</v>
      </c>
      <c r="E7" s="18">
        <v>456800000</v>
      </c>
      <c r="F7" s="8" t="s">
        <v>87</v>
      </c>
    </row>
    <row r="8" spans="1:6" x14ac:dyDescent="0.25">
      <c r="A8" t="s">
        <v>88</v>
      </c>
      <c r="B8" s="18">
        <v>828900000</v>
      </c>
      <c r="C8" s="18">
        <v>669700000</v>
      </c>
      <c r="D8" s="18">
        <v>469700000</v>
      </c>
      <c r="E8" s="18">
        <v>824200000</v>
      </c>
      <c r="F8" s="8" t="s">
        <v>89</v>
      </c>
    </row>
    <row r="9" spans="1:6" x14ac:dyDescent="0.25">
      <c r="A9" t="s">
        <v>90</v>
      </c>
      <c r="B9" s="18">
        <v>54700000</v>
      </c>
      <c r="C9" s="18">
        <v>210600000</v>
      </c>
      <c r="D9" s="18">
        <v>6800000</v>
      </c>
      <c r="E9" s="18">
        <v>85100000</v>
      </c>
      <c r="F9" s="8" t="s">
        <v>91</v>
      </c>
    </row>
    <row r="10" spans="1:6" x14ac:dyDescent="0.25">
      <c r="A10" t="s">
        <v>92</v>
      </c>
      <c r="B10" s="18">
        <v>4364900000</v>
      </c>
      <c r="C10" s="18">
        <v>2771500000</v>
      </c>
      <c r="D10" s="18">
        <v>3173200000</v>
      </c>
      <c r="E10" s="18">
        <v>2793100000</v>
      </c>
      <c r="F10" s="8" t="s">
        <v>93</v>
      </c>
    </row>
    <row r="11" spans="1:6" x14ac:dyDescent="0.25">
      <c r="A11" t="s">
        <v>94</v>
      </c>
      <c r="B11" s="18">
        <v>600800000</v>
      </c>
      <c r="C11" s="18">
        <v>787000000</v>
      </c>
      <c r="D11" s="18">
        <v>1141500000</v>
      </c>
      <c r="E11" s="18">
        <v>405200000</v>
      </c>
      <c r="F11" s="8" t="s">
        <v>95</v>
      </c>
    </row>
    <row r="12" spans="1:6" x14ac:dyDescent="0.25">
      <c r="A12" t="s">
        <v>32</v>
      </c>
      <c r="B12" s="34">
        <v>89907085</v>
      </c>
      <c r="C12" s="34">
        <v>89754738</v>
      </c>
      <c r="D12" s="34">
        <v>89625000</v>
      </c>
      <c r="E12" s="34">
        <v>92942238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