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<sst xmlns="http://schemas.openxmlformats.org/spreadsheetml/2006/main" count="121" uniqueCount="108">
  <si>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Prologis, Inc. (PLD)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</si>
  <si>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</si>
  <si>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</si>
  <si>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</si>
  <si>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</si>
  <si>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</si>
  <si>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</si>
  <si>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</si>
  <si>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</si>
  <si>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</si>
  <si>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</si>
  <si>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</si>
  <si>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</si>
  <si>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</si>
  <si>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</si>
  <si>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</si>
  <si>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</si>
  <si>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</si>
  <si>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</si>
  <si>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</si>
  <si>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</si>
  <si>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</si>
  <si>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</si>
  <si>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</si>
  <si>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3.5x interest cover. Book interest / average debt was lower, at 2.9%.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</si>
  <si>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</si>
  <si>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</si>
  <si>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</si>
  <si>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</si>
  <si>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</si>
  <si>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</si>
  <si>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</si>
  <si>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</si>
  <si>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</si>
  <si>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</si>
  <si>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</si>
  <si>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</si>
  <si>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</si>
  <si>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</si>
  <si>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</si>
  <si>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</si>
  <si>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</si>
  <si>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</si>
  <si>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</si>
  <si>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</si>
  <si>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</si>
  <si>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</si>
  <si>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</si>
  <si>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</si>
  <si>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</si>
  <si>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</si>
  <si>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</si>
  <si>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</si>
  <si>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</si>
  <si>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</si>
  <si>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</si>
  <si>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</si>
  <si>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</si>
  <si>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</si>
  <si>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</si>
  <si>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</si>
  <si>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</si>
  <si>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</si>
  <si>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</si>
  <si>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</si>
  <si>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</si>
  <si>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</si>
  <si>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</si>
  <si>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</si>
  <si>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</si>
  <si>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</si>
  <si>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</si>
  <si>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</si>
  <si>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</si>
  <si>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</si>
  <si>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</si>
  <si>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</si>
  <si>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</si>
  <si>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</si>
  <si>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</si>
  <si>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</si>
  <si>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</si>
  <si>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</si>
  <si>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</si>
  <si>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</si>
  <si>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</si>
  <si>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</si>
  <si>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</si>
  <si>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</si>
  <si>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</si>
  <si>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</si>
  <si>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</si>
  <si>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</si>
  <si>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</si>
  <si>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</si>
  <si>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</si>
  <si>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</si>
  <si>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</si>
  <si>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</si>
  <si>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</si>
  <si>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</si>
  <si>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</si>
  <si>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</si>
  <si>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</si>
  <si>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</si>
  <si>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0.00% of revenue, which is too low to be the company's real investment - property trusts and similar structures invest through lines that are not reported as capex. Capex has been set to 30.66%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</si>
  <si>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26.3x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</si>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</sst>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-0.004842217865566711</v>
      </c>
    </row>
    <row r="7" spans="1:2" x14ac:dyDescent="0.25">
      <c r="A7" t="s">
        <v>4</v>
      </c>
      <c r="B7" s="5">
        <v>0.38308344064892164</v>
      </c>
    </row>
    <row r="8" spans="1:2" x14ac:dyDescent="0.25">
      <c r="A8" t="s">
        <v>5</v>
      </c>
      <c r="B8" s="5">
        <v>0.04734815920843616</v>
      </c>
    </row>
    <row r="9" spans="1:2" x14ac:dyDescent="0.25">
      <c r="A9" t="s">
        <v>6</v>
      </c>
      <c r="B9" s="5">
        <v>0.3066365010765894</v>
      </c>
    </row>
    <row r="10" spans="1:3" x14ac:dyDescent="0.25">
      <c r="A10" t="s">
        <v>7</v>
      </c>
      <c r="B10" s="5">
        <v>0.3066365010765894</v>
      </c>
      <c r="C10" s="6" t="s">
        <v>8</v>
      </c>
    </row>
    <row r="11" spans="1:2" x14ac:dyDescent="0.25">
      <c r="A11" t="s">
        <v>9</v>
      </c>
      <c r="B11" s="5">
        <v>-0.17278081328844236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0.09032133276917188</v>
      </c>
      <c r="C14" s="6" t="s">
        <v>13</v>
      </c>
    </row>
    <row r="15" spans="1:3" x14ac:dyDescent="0.25">
      <c r="A15" t="s">
        <v>14</v>
      </c>
      <c r="B15" s="5">
        <v>0.3066365010765894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1.2170800000000002</v>
      </c>
      <c r="C19" s="6" t="s">
        <v>21</v>
      </c>
    </row>
    <row r="20" spans="1:2" x14ac:dyDescent="0.25">
      <c r="A20" t="s">
        <v>22</v>
      </c>
      <c r="B20" s="9">
        <f>B17+B19*B18</f>
        <v>0.100422484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124408258560</v>
      </c>
    </row>
    <row r="23" spans="1:2" x14ac:dyDescent="0.25">
      <c r="A23" t="s">
        <v>26</v>
      </c>
      <c r="B23" s="10">
        <v>35680534000</v>
      </c>
    </row>
    <row r="24" spans="1:2" x14ac:dyDescent="0.25">
      <c r="A24" t="s">
        <v>27</v>
      </c>
      <c r="B24" s="9">
        <f>B22/(B22+B23)</f>
        <v>0.7771203503416567</v>
      </c>
    </row>
    <row r="25" spans="1:2" x14ac:dyDescent="0.25">
      <c r="A25" t="s">
        <v>28</v>
      </c>
      <c r="B25" s="9">
        <f>1-B24</f>
        <v>0.22287964965834328</v>
      </c>
    </row>
    <row r="26" spans="1:2" x14ac:dyDescent="0.25">
      <c r="A26" t="s">
        <v>29</v>
      </c>
      <c r="B26" s="11">
        <f>B24*B20+B25*B21*(1-B8)</f>
        <v>0.09032133276917188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8790127000</v>
      </c>
      <c r="C29" s="6" t="s">
        <v>32</v>
      </c>
    </row>
    <row r="30" spans="1:2" x14ac:dyDescent="0.25">
      <c r="A30" t="s">
        <v>33</v>
      </c>
      <c r="B30" s="10">
        <v>34534887000</v>
      </c>
    </row>
    <row r="31" spans="1:2" x14ac:dyDescent="0.25">
      <c r="A31" t="s">
        <v>34</v>
      </c>
      <c r="B31" s="12">
        <v>956832000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-0.004842217865566711</v>
      </c>
      <c r="C5" s="5">
        <v>0.10634268643285227</v>
      </c>
      <c r="D5" s="5">
        <v>0.09617485062874574</v>
      </c>
      <c r="E5" s="5">
        <v>0.08600701482463921</v>
      </c>
      <c r="F5" s="5">
        <v>0.07583917902053267</v>
      </c>
      <c r="G5" s="5">
        <v>0.06567134321642613</v>
      </c>
      <c r="H5" s="5">
        <v>0.0555035074123196</v>
      </c>
      <c r="I5" s="5">
        <v>0.045335671608213064</v>
      </c>
      <c r="J5" s="5">
        <v>0.035167835804106526</v>
      </c>
      <c r="K5" s="5">
        <v>0.024999999999999994</v>
      </c>
    </row>
    <row r="6" spans="1:11" x14ac:dyDescent="0.25">
      <c r="A6" t="s">
        <v>50</v>
      </c>
      <c r="B6" s="18">
        <f>Assumptions!B29*(1+B5)</f>
        <v>8747563290</v>
      </c>
      <c r="C6" s="18">
        <f>B6*(1+C5)</f>
        <v>9677802670</v>
      </c>
      <c r="D6" s="18">
        <f>C6*(1+D5)</f>
        <v>10608563896.201725</v>
      </c>
      <c r="E6" s="18">
        <f>D6*(1+E5)</f>
        <v>11520974808.490479</v>
      </c>
      <c r="F6" s="18">
        <f>E6*(1+F5)</f>
        <v>12394716079.482634</v>
      </c>
      <c r="G6" s="18">
        <f>F6*(1+G5)</f>
        <v>13208693733.208494</v>
      </c>
      <c r="H6" s="18">
        <f>G6*(1+H5)</f>
        <v>13941822563.73669</v>
      </c>
      <c r="I6" s="18">
        <f>H6*(1+I5)</f>
        <v>14573884453.106234</v>
      </c>
      <c r="J6" s="18">
        <f>I6*(1+J5)</f>
        <v>15086416428.581095</v>
      </c>
      <c r="K6" s="18">
        <f>J6*(1+K5)</f>
        <v>15463576839.29562</v>
      </c>
    </row>
    <row r="7" spans="1:11" x14ac:dyDescent="0.25">
      <c r="A7" t="s">
        <v>4</v>
      </c>
      <c r="B7" s="9">
        <f>Assumptions!B7</f>
        <v>0.38308344064892164</v>
      </c>
      <c r="C7" s="9">
        <f>Assumptions!B7</f>
        <v>0.38308344064892164</v>
      </c>
      <c r="D7" s="9">
        <f>Assumptions!B7</f>
        <v>0.38308344064892164</v>
      </c>
      <c r="E7" s="9">
        <f>Assumptions!B7</f>
        <v>0.38308344064892164</v>
      </c>
      <c r="F7" s="9">
        <f>Assumptions!B7</f>
        <v>0.38308344064892164</v>
      </c>
      <c r="G7" s="9">
        <f>Assumptions!B7</f>
        <v>0.38308344064892164</v>
      </c>
      <c r="H7" s="9">
        <f>Assumptions!B7</f>
        <v>0.38308344064892164</v>
      </c>
      <c r="I7" s="9">
        <f>Assumptions!B7</f>
        <v>0.38308344064892164</v>
      </c>
      <c r="J7" s="9">
        <f>Assumptions!B7</f>
        <v>0.38308344064892164</v>
      </c>
      <c r="K7" s="9">
        <f>Assumptions!B7</f>
        <v>0.38308344064892164</v>
      </c>
    </row>
    <row r="8" spans="1:11" x14ac:dyDescent="0.25">
      <c r="A8" t="s">
        <v>51</v>
      </c>
      <c r="B8" s="18">
        <f>B6*B7</f>
        <v>3351046642.4274006</v>
      </c>
      <c r="C8" s="18">
        <f>C6*C7</f>
        <v>3707405944.7449203</v>
      </c>
      <c r="D8" s="18">
        <f>D6*D7</f>
        <v>4063965157.7008862</v>
      </c>
      <c r="E8" s="18">
        <f>E6*E7</f>
        <v>4413494669.266084</v>
      </c>
      <c r="F8" s="18">
        <f>F6*F7</f>
        <v>4748210481.59472</v>
      </c>
      <c r="G8" s="18">
        <f>G6*G7</f>
        <v>5060031841.79536</v>
      </c>
      <c r="H8" s="18">
        <f>H6*H7</f>
        <v>5340881356.633021</v>
      </c>
      <c r="I8" s="18">
        <f>I6*I7</f>
        <v>5583013799.915764</v>
      </c>
      <c r="J8" s="18">
        <f>J6*J7</f>
        <v>5779356312.523262</v>
      </c>
      <c r="K8" s="18">
        <f>K6*K7</f>
        <v>5923840220.336343</v>
      </c>
    </row>
    <row r="9" spans="1:11" x14ac:dyDescent="0.25">
      <c r="A9" t="s">
        <v>52</v>
      </c>
      <c r="B9" s="18">
        <f>B8*(1-Assumptions!B8)</f>
        <v>3192380752.4868526</v>
      </c>
      <c r="C9" s="18">
        <f>C8*(1-Assumptions!B8)</f>
        <v>3531867097.822835</v>
      </c>
      <c r="D9" s="18">
        <f>D8*(1-Assumptions!B8)</f>
        <v>3871543888.3965273</v>
      </c>
      <c r="E9" s="18">
        <f>E8*(1-Assumptions!B8)</f>
        <v>4204523821.0000887</v>
      </c>
      <c r="F9" s="18">
        <f>F8*(1-Assumptions!B8)</f>
        <v>4523391455.757008</v>
      </c>
      <c r="G9" s="18">
        <f>G8*(1-Assumptions!B8)</f>
        <v>4820448648.550277</v>
      </c>
      <c r="H9" s="18">
        <f>H8*(1-Assumptions!B8)</f>
        <v>5088000455.845793</v>
      </c>
      <c r="I9" s="18">
        <f>I8*(1-Assumptions!B8)</f>
        <v>5318668373.654456</v>
      </c>
      <c r="J9" s="18">
        <f>J8*(1-Assumptions!B8)</f>
        <v>5505714429.715631</v>
      </c>
      <c r="K9" s="18">
        <f>K8*(1-Assumptions!B8)</f>
        <v>5643357290.45852</v>
      </c>
    </row>
    <row r="10" spans="1:11" x14ac:dyDescent="0.25">
      <c r="A10" t="s">
        <v>53</v>
      </c>
      <c r="B10" s="18">
        <f>B6*Assumptions!B9</f>
        <v>2682322200.191619</v>
      </c>
      <c r="C10" s="18">
        <f>C6*Assumptions!B9</f>
        <v>2967567548.8384748</v>
      </c>
      <c r="D10" s="18">
        <f>D6*Assumptions!B9</f>
        <v>3252972914.5787277</v>
      </c>
      <c r="E10" s="18">
        <f>E6*Assumptions!B9</f>
        <v>3532751404.2670503</v>
      </c>
      <c r="F10" s="18">
        <f>F6*Assumptions!B9</f>
        <v>3800672370.4502964</v>
      </c>
      <c r="G10" s="18">
        <f>G6*Assumptions!B9</f>
        <v>4050267630.1433263</v>
      </c>
      <c r="H10" s="18">
        <f>H6*Assumptions!B9</f>
        <v>4275071689.5748644</v>
      </c>
      <c r="I10" s="18">
        <f>I6*Assumptions!B9</f>
        <v>4468884935.794999</v>
      </c>
      <c r="J10" s="18">
        <f>J6*Assumptions!B9</f>
        <v>4626045947.444483</v>
      </c>
      <c r="K10" s="18">
        <f>K6*Assumptions!B9</f>
        <v>4741697096.130594</v>
      </c>
    </row>
    <row r="11" spans="1:11" x14ac:dyDescent="0.25">
      <c r="A11" t="s">
        <v>54</v>
      </c>
      <c r="B11" s="18">
        <f>-B6*B19</f>
        <v>-2682322200.191619</v>
      </c>
      <c r="C11" s="18">
        <f>-C6*C19</f>
        <v>-3076187978.1170087</v>
      </c>
      <c r="D11" s="18">
        <f>-D6*D19</f>
        <v>-3491106880.2579823</v>
      </c>
      <c r="E11" s="18">
        <f>-E6*E19</f>
        <v>-3920674140.0605702</v>
      </c>
      <c r="F11" s="18">
        <f>-F6*F19</f>
        <v>-4357129007.249629</v>
      </c>
      <c r="G11" s="18">
        <f>-G6*G19</f>
        <v>-4791517494.617877</v>
      </c>
      <c r="H11" s="18">
        <f>-H6*H19</f>
        <v>-5213941887.761017</v>
      </c>
      <c r="I11" s="18">
        <f>-I6*I19</f>
        <v>-5613891863.1645</v>
      </c>
      <c r="J11" s="18">
        <f>-J6*J19</f>
        <v>-5980645196.571108</v>
      </c>
      <c r="K11" s="18">
        <f>-K6*K19</f>
        <v>-6303719355.279734</v>
      </c>
    </row>
    <row r="12" spans="1:11" x14ac:dyDescent="0.25">
      <c r="A12" t="s">
        <v>55</v>
      </c>
      <c r="B12" s="18">
        <f>-(B6-Assumptions!B29)*Assumptions!B11</f>
        <v>-7354192.430373407</v>
      </c>
      <c r="C12" s="18">
        <f>-(C6-B6)*Assumptions!B11</f>
        <v>160727516.6293364</v>
      </c>
      <c r="D12" s="18">
        <f>-(D6-C6)*Assumptions!B11</f>
        <v>160817681.64048192</v>
      </c>
      <c r="E12" s="18">
        <f>-(E6-D6)*Assumptions!B11</f>
        <v>157647099.4785005</v>
      </c>
      <c r="F12" s="18">
        <f>-(F6-E6)*Assumptions!B11</f>
        <v>150965727.40570188</v>
      </c>
      <c r="G12" s="18">
        <f>-(G6-F6)*Assumptions!B11</f>
        <v>140639721.0093723</v>
      </c>
      <c r="H12" s="18">
        <f>-(H6-G6)*Assumptions!B11</f>
        <v>126670595.58386639</v>
      </c>
      <c r="I12" s="18">
        <f>-(I6-H6)*Assumptions!B11</f>
        <v>109208167.29389913</v>
      </c>
      <c r="J12" s="18">
        <f>-(J6-I6)*Assumptions!B11</f>
        <v>88555691.5588785</v>
      </c>
      <c r="K12" s="18">
        <f>-(K6-J6)*Assumptions!B11</f>
        <v>65166082.50345862</v>
      </c>
    </row>
    <row r="13" spans="1:11" x14ac:dyDescent="0.25">
      <c r="A13" s="19" t="s">
        <v>56</v>
      </c>
      <c r="B13" s="20">
        <f>B9+B10+B11+B12</f>
        <v>3185026560.0564795</v>
      </c>
      <c r="C13" s="20">
        <f>C9+C10+C11+C12</f>
        <v>3583974185.173638</v>
      </c>
      <c r="D13" s="20">
        <f>D9+D10+D11+D12</f>
        <v>3794227604.3577547</v>
      </c>
      <c r="E13" s="20">
        <f>E9+E10+E11+E12</f>
        <v>3974248184.6850696</v>
      </c>
      <c r="F13" s="20">
        <f>F9+F10+F11+F12</f>
        <v>4117900546.3633766</v>
      </c>
      <c r="G13" s="20">
        <f>G9+G10+G11+G12</f>
        <v>4219838505.0850987</v>
      </c>
      <c r="H13" s="20">
        <f>H9+H10+H11+H12</f>
        <v>4275800853.243508</v>
      </c>
      <c r="I13" s="20">
        <f>I9+I10+I11+I12</f>
        <v>4282869613.578854</v>
      </c>
      <c r="J13" s="20">
        <f>J9+J10+J11+J12</f>
        <v>4239670872.147885</v>
      </c>
      <c r="K13" s="20">
        <f>K9+K10+K11+K12</f>
        <v>4146501113.81284</v>
      </c>
    </row>
    <row r="14" spans="1:11" x14ac:dyDescent="0.25">
      <c r="A14" t="s">
        <v>57</v>
      </c>
      <c r="B14" s="21">
        <f>1/(1+Assumptions!$B$26)^(1-0.5*Assumptions!$B$32)</f>
        <v>0.9576851324969343</v>
      </c>
      <c r="C14" s="21">
        <f>1/(1+Assumptions!$B$26)^(2-0.5*Assumptions!$B$32)</f>
        <v>0.8783512747243317</v>
      </c>
      <c r="D14" s="21">
        <f>1/(1+Assumptions!$B$26)^(3-0.5*Assumptions!$B$32)</f>
        <v>0.8055893692307351</v>
      </c>
      <c r="E14" s="21">
        <f>1/(1+Assumptions!$B$26)^(4-0.5*Assumptions!$B$32)</f>
        <v>0.7388550008323864</v>
      </c>
      <c r="F14" s="21">
        <f>1/(1+Assumptions!$B$26)^(5-0.5*Assumptions!$B$32)</f>
        <v>0.677648853256737</v>
      </c>
      <c r="G14" s="21">
        <f>1/(1+Assumptions!$B$26)^(6-0.5*Assumptions!$B$32)</f>
        <v>0.6215129731853093</v>
      </c>
      <c r="H14" s="21">
        <f>1/(1+Assumptions!$B$26)^(7-0.5*Assumptions!$B$32)</f>
        <v>0.5700273437802098</v>
      </c>
      <c r="I14" s="21">
        <f>1/(1+Assumptions!$B$26)^(8-0.5*Assumptions!$B$32)</f>
        <v>0.5228067420569201</v>
      </c>
      <c r="J14" s="21">
        <f>1/(1+Assumptions!$B$26)^(9-0.5*Assumptions!$B$32)</f>
        <v>0.4794978565897708</v>
      </c>
      <c r="K14" s="21">
        <f>1/(1+Assumptions!$B$26)^(10-0.5*Assumptions!$B$32)</f>
        <v>0.43977664398435057</v>
      </c>
    </row>
    <row r="15" spans="1:11" x14ac:dyDescent="0.25">
      <c r="A15" s="19" t="s">
        <v>58</v>
      </c>
      <c r="B15" s="20">
        <f>B13*B14</f>
        <v>3050252583.1739445</v>
      </c>
      <c r="C15" s="20">
        <f>C13*C14</f>
        <v>3147988294.126363</v>
      </c>
      <c r="D15" s="20">
        <f>D13*D14</f>
        <v>3056589422.512407</v>
      </c>
      <c r="E15" s="20">
        <f>E13*E14</f>
        <v>2936393145.8035975</v>
      </c>
      <c r="F15" s="20">
        <f>F13*F14</f>
        <v>2790490583.068433</v>
      </c>
      <c r="G15" s="20">
        <f>G13*G14</f>
        <v>2622684375.6572905</v>
      </c>
      <c r="H15" s="20">
        <f>H13*H14</f>
        <v>2437323402.9075513</v>
      </c>
      <c r="I15" s="20">
        <f>I13*I14</f>
        <v>2239113109.329741</v>
      </c>
      <c r="J15" s="20">
        <f>J13*J14</f>
        <v>2032913095.8409948</v>
      </c>
      <c r="K15" s="20">
        <f>K13*K14</f>
        <v>1823534344.1099825</v>
      </c>
    </row>
    <row r="17" spans="1:2" x14ac:dyDescent="0.25">
      <c r="A17" s="22" t="s">
        <v>59</v>
      </c>
      <c r="B17" s="23">
        <f>SUM(B15:K15)</f>
        <v>26137282356.530304</v>
      </c>
    </row>
    <row r="19" spans="1:11" x14ac:dyDescent="0.25">
      <c r="A19" t="s">
        <v>7</v>
      </c>
      <c r="B19" s="9">
        <f>Assumptions!$B$10+($B$20-Assumptions!$B$10)*0/9</f>
        <v>0.3066365010765894</v>
      </c>
      <c r="C19" s="9">
        <f>Assumptions!$B$10+($B$20-Assumptions!$B$10)*1/9</f>
        <v>0.31786016754121404</v>
      </c>
      <c r="D19" s="9">
        <f>Assumptions!$B$10+($B$20-Assumptions!$B$10)*2/9</f>
        <v>0.32908383400583874</v>
      </c>
      <c r="E19" s="9">
        <f>Assumptions!$B$10+($B$20-Assumptions!$B$10)*3/9</f>
        <v>0.3403075004704634</v>
      </c>
      <c r="F19" s="9">
        <f>Assumptions!$B$10+($B$20-Assumptions!$B$10)*4/9</f>
        <v>0.351531166935088</v>
      </c>
      <c r="G19" s="9">
        <f>Assumptions!$B$10+($B$20-Assumptions!$B$10)*5/9</f>
        <v>0.3627548333997127</v>
      </c>
      <c r="H19" s="9">
        <f>Assumptions!$B$10+($B$20-Assumptions!$B$10)*6/9</f>
        <v>0.37397849986433734</v>
      </c>
      <c r="I19" s="9">
        <f>Assumptions!$B$10+($B$20-Assumptions!$B$10)*7/9</f>
        <v>0.385202166328962</v>
      </c>
      <c r="J19" s="9">
        <f>Assumptions!$B$10+($B$20-Assumptions!$B$10)*8/9</f>
        <v>0.3964258327935867</v>
      </c>
      <c r="K19" s="9">
        <f>Assumptions!$B$10+($B$20-Assumptions!$B$10)*9/9</f>
        <v>0.4076494992582113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0.4076494992582113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4146501113.81284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5643357290.45852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0.27678953834628206</v>
      </c>
    </row>
    <row r="7" spans="1:2" x14ac:dyDescent="0.25">
      <c r="A7" t="s">
        <v>66</v>
      </c>
      <c r="B7" s="18">
        <f>-MAX(B5,0)*B6</f>
        <v>-1562022259.149139</v>
      </c>
    </row>
    <row r="8" spans="1:2" x14ac:dyDescent="0.25">
      <c r="A8" t="s">
        <v>67</v>
      </c>
      <c r="B8" s="18">
        <f>IF(OR(Assumptions!$B$33=0,Assumptions!B12&lt;=0),B5,MAX(B5+B7,0))</f>
        <v>4081335031.309381</v>
      </c>
    </row>
    <row r="9" spans="1:2" x14ac:dyDescent="0.25">
      <c r="A9" t="s">
        <v>68</v>
      </c>
      <c r="B9" s="18">
        <f>B8*(1+Assumptions!B12)/(Assumptions!B26-Assumptions!B12)</f>
        <v>64042912625.11469</v>
      </c>
    </row>
    <row r="10" spans="1:2" x14ac:dyDescent="0.25">
      <c r="A10" t="s">
        <v>69</v>
      </c>
      <c r="B10" s="18">
        <f>B9/(1+Assumptions!B26)^(10-0.5*Assumptions!B32)</f>
        <v>28164577185.255936</v>
      </c>
    </row>
    <row r="11" spans="1:2" x14ac:dyDescent="0.25">
      <c r="A11" t="s">
        <v>70</v>
      </c>
      <c r="B11" s="18">
        <f>Forecast!B17+B10</f>
        <v>54301859541.78624</v>
      </c>
    </row>
    <row r="12" spans="1:2" x14ac:dyDescent="0.25">
      <c r="A12" t="s">
        <v>71</v>
      </c>
      <c r="B12" s="18">
        <f>-Assumptions!B30</f>
        <v>-34534887000</v>
      </c>
    </row>
    <row r="13" spans="1:2" x14ac:dyDescent="0.25">
      <c r="A13" t="s">
        <v>72</v>
      </c>
      <c r="B13" s="18">
        <f>B11+B12</f>
        <v>19766972541.78624</v>
      </c>
    </row>
    <row r="14" spans="1:2" x14ac:dyDescent="0.25">
      <c r="A14" s="19" t="s">
        <v>73</v>
      </c>
      <c r="B14" s="24">
        <f>B13/Assumptions!B31</f>
        <v>20.65877033981539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10665537316.466938</v>
      </c>
    </row>
    <row r="18" spans="1:2" x14ac:dyDescent="0.25">
      <c r="A18" t="s">
        <v>68</v>
      </c>
      <c r="B18" s="18">
        <f>B17*Assumptions!B13</f>
        <v>213310746329.33875</v>
      </c>
    </row>
    <row r="19" spans="1:2" x14ac:dyDescent="0.25">
      <c r="A19" t="s">
        <v>69</v>
      </c>
      <c r="B19" s="18">
        <f>B18/(1+Assumptions!B26)^(10-0.5*Assumptions!B32)</f>
        <v>93809084146.51372</v>
      </c>
    </row>
    <row r="20" spans="1:2" x14ac:dyDescent="0.25">
      <c r="A20" t="s">
        <v>70</v>
      </c>
      <c r="B20" s="18">
        <f>Forecast!B17+B19</f>
        <v>119946366503.04402</v>
      </c>
    </row>
    <row r="21" spans="1:2" x14ac:dyDescent="0.25">
      <c r="A21" t="s">
        <v>71</v>
      </c>
      <c r="B21" s="18">
        <f>-Assumptions!B30</f>
        <v>-34534887000</v>
      </c>
    </row>
    <row r="22" spans="1:2" x14ac:dyDescent="0.25">
      <c r="A22" t="s">
        <v>72</v>
      </c>
      <c r="B22" s="18">
        <f>B20+B21</f>
        <v>85411479503.04402</v>
      </c>
    </row>
    <row r="23" spans="1:2" x14ac:dyDescent="0.25">
      <c r="A23" s="19" t="s">
        <v>73</v>
      </c>
      <c r="B23" s="25">
        <f>B22/Assumptions!B31</f>
        <v>89.26486520417798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127.98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20.65877033981539</v>
      </c>
    </row>
    <row r="29" spans="1:2" x14ac:dyDescent="0.25">
      <c r="A29" s="19" t="s">
        <v>81</v>
      </c>
      <c r="B29" s="11">
        <f>B28/B26-1</f>
        <v>-0.8385781345537163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0.070321</v>
      </c>
      <c r="B5" s="31">
        <v>39.3437151503483</v>
      </c>
      <c r="C5" s="31">
        <v>38.38355649750522</v>
      </c>
      <c r="D5" s="31">
        <v>37.42339784466213</v>
      </c>
      <c r="E5" s="31">
        <v>36.46323919181904</v>
      </c>
      <c r="F5" s="31">
        <v>35.50308053897594</v>
      </c>
    </row>
    <row r="6" spans="1:6" x14ac:dyDescent="0.25">
      <c r="A6" s="30">
        <v>0.080321</v>
      </c>
      <c r="B6" s="31">
        <v>29.576356825279667</v>
      </c>
      <c r="C6" s="31">
        <v>28.7821655620201</v>
      </c>
      <c r="D6" s="31">
        <v>27.987974298760548</v>
      </c>
      <c r="E6" s="31">
        <v>27.19378303550098</v>
      </c>
      <c r="F6" s="31">
        <v>26.39959177224142</v>
      </c>
    </row>
    <row r="7" spans="1:6" x14ac:dyDescent="0.25">
      <c r="A7" s="30">
        <v>0.090321</v>
      </c>
      <c r="B7" s="31">
        <v>21.994638968850733</v>
      </c>
      <c r="C7" s="31">
        <v>21.326812958713933</v>
      </c>
      <c r="D7" s="32">
        <v>20.658986948577144</v>
      </c>
      <c r="E7" s="31">
        <v>19.991160938440352</v>
      </c>
      <c r="F7" s="31">
        <v>19.323334928303545</v>
      </c>
    </row>
    <row r="8" spans="1:6" x14ac:dyDescent="0.25">
      <c r="A8" s="30">
        <v>0.100321</v>
      </c>
      <c r="B8" s="31">
        <v>15.943709107691332</v>
      </c>
      <c r="C8" s="31">
        <v>15.374695061031128</v>
      </c>
      <c r="D8" s="31">
        <v>14.805681014370908</v>
      </c>
      <c r="E8" s="31">
        <v>14.236666967710688</v>
      </c>
      <c r="F8" s="31">
        <v>13.667652921050468</v>
      </c>
    </row>
    <row r="9" spans="1:6" x14ac:dyDescent="0.25">
      <c r="A9" s="30">
        <v>0.110321</v>
      </c>
      <c r="B9" s="31">
        <v>11.00623040083303</v>
      </c>
      <c r="C9" s="31">
        <v>10.516138285644653</v>
      </c>
      <c r="D9" s="31">
        <v>10.026046170456251</v>
      </c>
      <c r="E9" s="31">
        <v>9.535954055267872</v>
      </c>
      <c r="F9" s="31">
        <v>9.045861940079487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8790127000</v>
      </c>
      <c r="C5" s="18">
        <v>8201610000</v>
      </c>
      <c r="D5" s="18">
        <v>8023469000</v>
      </c>
      <c r="E5" s="18">
        <v>5973692000</v>
      </c>
      <c r="F5" s="6" t="s">
        <v>91</v>
      </c>
    </row>
    <row r="6" spans="1:6" x14ac:dyDescent="0.25">
      <c r="A6" t="s">
        <v>51</v>
      </c>
      <c r="B6" s="18">
        <v>3414302000</v>
      </c>
      <c r="C6" s="18">
        <v>3098041000</v>
      </c>
      <c r="D6" s="18">
        <v>3084483000</v>
      </c>
      <c r="E6" s="18">
        <v>2280402000</v>
      </c>
      <c r="F6" s="6" t="s">
        <v>92</v>
      </c>
    </row>
    <row r="7" spans="1:6" x14ac:dyDescent="0.25">
      <c r="A7" t="s">
        <v>93</v>
      </c>
      <c r="B7" s="18">
        <v>2626028000</v>
      </c>
      <c r="C7" s="18">
        <v>2580519000</v>
      </c>
      <c r="D7" s="18">
        <v>2484891000</v>
      </c>
      <c r="E7" s="18">
        <v>1812777000</v>
      </c>
      <c r="F7" s="6" t="s">
        <v>94</v>
      </c>
    </row>
    <row r="8" spans="1:6" x14ac:dyDescent="0.25">
      <c r="A8" t="s">
        <v>95</v>
      </c>
      <c r="B8" s="18">
        <v>0</v>
      </c>
      <c r="C8" s="18">
        <v>0</v>
      </c>
      <c r="D8" s="18">
        <v>0</v>
      </c>
      <c r="E8" s="18">
        <v>0</v>
      </c>
      <c r="F8" s="6" t="s">
        <v>96</v>
      </c>
    </row>
    <row r="9" spans="1:6" x14ac:dyDescent="0.25">
      <c r="A9" t="s">
        <v>97</v>
      </c>
      <c r="B9" s="18">
        <v>195222000</v>
      </c>
      <c r="C9" s="18">
        <v>126534000</v>
      </c>
      <c r="D9" s="18">
        <v>-70074000</v>
      </c>
      <c r="E9" s="18">
        <v>26224000</v>
      </c>
      <c r="F9" s="6" t="s">
        <v>98</v>
      </c>
    </row>
    <row r="10" spans="1:6" x14ac:dyDescent="0.25">
      <c r="A10" t="s">
        <v>99</v>
      </c>
      <c r="B10" s="18">
        <v>35680534000</v>
      </c>
      <c r="C10" s="18">
        <v>31494568000</v>
      </c>
      <c r="D10" s="18">
        <v>29598064000</v>
      </c>
      <c r="E10" s="18">
        <v>24514772000</v>
      </c>
      <c r="F10" s="6" t="s">
        <v>100</v>
      </c>
    </row>
    <row r="11" spans="1:6" x14ac:dyDescent="0.25">
      <c r="A11" t="s">
        <v>101</v>
      </c>
      <c r="B11" s="18">
        <v>1145647000</v>
      </c>
      <c r="C11" s="18">
        <v>1318591000</v>
      </c>
      <c r="D11" s="18">
        <v>530388000</v>
      </c>
      <c r="E11" s="18">
        <v>278483000</v>
      </c>
      <c r="F11" s="6" t="s">
        <v>102</v>
      </c>
    </row>
    <row r="12" spans="1:6" x14ac:dyDescent="0.25">
      <c r="A12" t="s">
        <v>34</v>
      </c>
      <c r="B12" s="34">
        <v>956832000</v>
      </c>
      <c r="C12" s="34">
        <v>953590000</v>
      </c>
      <c r="D12" s="34">
        <v>951791000</v>
      </c>
      <c r="E12" s="34">
        <v>811608000</v>
      </c>
      <c r="F12" s="6" t="s">
        <v>103</v>
      </c>
    </row>
    <row r="15" spans="1:1" x14ac:dyDescent="0.25">
      <c r="A15" s="19" t="s">
        <v>104</v>
      </c>
    </row>
    <row r="16" ht="86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