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<sst xmlns="http://schemas.openxmlformats.org/spreadsheetml/2006/main" count="113" uniqueCount="101">
  <si>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Prologis, Inc. (PLD)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</si>
  <si>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</si>
  <si>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</si>
  <si>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</si>
  <si>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</si>
  <si>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</si>
  <si>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</si>
  <si>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</si>
  <si>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</si>
  <si>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</si>
  <si>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</si>
  <si>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</si>
  <si>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</si>
  <si>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</si>
  <si>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</si>
  <si>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</si>
  <si>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</si>
  <si>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</si>
  <si>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</si>
  <si>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</si>
  <si>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</si>
  <si>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</si>
  <si>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</si>
  <si>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</si>
  <si>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</si>
  <si>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</si>
  <si>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</si>
  <si>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</si>
  <si>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</si>
  <si>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</si>
  <si>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</si>
  <si>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</si>
  <si>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</si>
  <si>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</si>
  <si>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</si>
  <si>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</si>
  <si>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</si>
  <si>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</si>
  <si>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</si>
  <si>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</si>
  <si>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</si>
  <si>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</si>
  <si>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</si>
  <si>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</si>
  <si>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</si>
  <si>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</si>
  <si>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</si>
  <si>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</si>
  <si>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</si>
  <si>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</si>
  <si>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</si>
  <si>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</si>
  <si>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</si>
  <si>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</si>
  <si>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</si>
  <si>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</si>
  <si>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</si>
  <si>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</si>
  <si>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</si>
  <si>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</si>
  <si>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</si>
  <si>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</si>
  <si>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</si>
  <si>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</si>
  <si>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</si>
  <si>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</si>
  <si>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</si>
  <si>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</si>
  <si>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</si>
  <si>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</si>
  <si>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</si>
  <si>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</si>
  <si>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</si>
  <si>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</si>
  <si>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</si>
  <si>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</si>
  <si>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</si>
  <si>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</si>
  <si>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</si>
  <si>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</si>
  <si>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</si>
  <si>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</si>
  <si>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</si>
  <si>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</si>
  <si>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</si>
  <si>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</si>
  <si>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</si>
  <si>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</si>
  <si>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</si>
  <si>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</si>
  <si>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</si>
  <si>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</si>
  <si>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</si>
  <si>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</si>
  <si>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</si>
  <si>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</si>
  <si>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</si>
  <si>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</si>
  <si>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0.00% of revenue, which is too low to be the company's real investment - property trusts and similar structures invest through lines that are not reported as capex. Capex has been set to 30.66%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</si>
  <si>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27.4x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</si>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</sst>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0.13741104437395912</v>
      </c>
    </row>
    <row r="7" spans="1:2" x14ac:dyDescent="0.25">
      <c r="A7" t="s">
        <v>5</v>
      </c>
      <c r="B7" s="6">
        <v>0.38308344064892164</v>
      </c>
    </row>
    <row r="8" spans="1:2" x14ac:dyDescent="0.25">
      <c r="A8" t="s">
        <v>6</v>
      </c>
      <c r="B8" s="6">
        <v>0.04734815920843616</v>
      </c>
    </row>
    <row r="9" spans="1:2" x14ac:dyDescent="0.25">
      <c r="A9" t="s">
        <v>7</v>
      </c>
      <c r="B9" s="6">
        <v>0.3066365010765894</v>
      </c>
    </row>
    <row r="10" spans="1:2" x14ac:dyDescent="0.25">
      <c r="A10" t="s">
        <v>8</v>
      </c>
      <c r="B10" s="6">
        <v>0.3066365010765894</v>
      </c>
    </row>
    <row r="11" spans="1:2" x14ac:dyDescent="0.25">
      <c r="A11" t="s">
        <v>9</v>
      </c>
      <c r="B11" s="6">
        <v>0.3317185399911982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0.10185852380015037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1.2117200000000001</v>
      </c>
      <c r="C19" s="8" t="s">
        <v>19</v>
      </c>
    </row>
    <row r="20" spans="1:2" x14ac:dyDescent="0.25">
      <c r="A20" t="s">
        <v>20</v>
      </c>
      <c r="B20" s="10">
        <f>B17+B19*B18</f>
        <v>0.11662460000000002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131076800512</v>
      </c>
    </row>
    <row r="23" spans="1:2" x14ac:dyDescent="0.25">
      <c r="A23" t="s">
        <v>24</v>
      </c>
      <c r="B23" s="11">
        <v>35680534000</v>
      </c>
    </row>
    <row r="24" spans="1:2" x14ac:dyDescent="0.25">
      <c r="A24" t="s">
        <v>25</v>
      </c>
      <c r="B24" s="10">
        <f>B22/(B22+B23)</f>
        <v>0.7860331954548458</v>
      </c>
    </row>
    <row r="25" spans="1:2" x14ac:dyDescent="0.25">
      <c r="A25" t="s">
        <v>26</v>
      </c>
      <c r="B25" s="10">
        <f>1-B24</f>
        <v>0.21396680454515415</v>
      </c>
    </row>
    <row r="26" spans="1:2" x14ac:dyDescent="0.25">
      <c r="A26" t="s">
        <v>27</v>
      </c>
      <c r="B26" s="12">
        <f>B24*B20+B25*B21*(1-B8)</f>
        <v>0.10185852380015037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8790127000</v>
      </c>
      <c r="C29" s="8" t="s">
        <v>30</v>
      </c>
    </row>
    <row r="30" spans="1:2" x14ac:dyDescent="0.25">
      <c r="A30" t="s">
        <v>31</v>
      </c>
      <c r="B30" s="11">
        <v>34534887000</v>
      </c>
    </row>
    <row r="31" spans="1:2" x14ac:dyDescent="0.25">
      <c r="A31" t="s">
        <v>32</v>
      </c>
      <c r="B31" s="13">
        <v>956832000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0.13741104437395912</v>
      </c>
      <c r="C5" s="10">
        <f>Assumptions!B6</f>
        <v>0.13741104437395912</v>
      </c>
      <c r="D5" s="10">
        <f>Assumptions!B6</f>
        <v>0.13741104437395912</v>
      </c>
      <c r="E5" s="10">
        <f>Assumptions!B6</f>
        <v>0.13741104437395912</v>
      </c>
      <c r="F5" s="10">
        <f>Assumptions!B6</f>
        <v>0.13741104437395912</v>
      </c>
    </row>
    <row r="6" spans="1:6" x14ac:dyDescent="0.25">
      <c r="A6" t="s">
        <v>43</v>
      </c>
      <c r="B6" s="18">
        <f>Assumptions!B29*(1+B5)</f>
        <v>9997987531.249737</v>
      </c>
      <c r="C6" s="18">
        <f>B6*(1+C5)</f>
        <v>11371821439.556585</v>
      </c>
      <c r="D6" s="18">
        <f>C6*(1+D5)</f>
        <v>12934435300.000235</v>
      </c>
      <c r="E6" s="18">
        <f>D6*(1+E5)</f>
        <v>14711769562.96067</v>
      </c>
      <c r="F6" s="18">
        <f>E6*(1+F5)</f>
        <v>16733329183.196121</v>
      </c>
    </row>
    <row r="7" spans="1:6" x14ac:dyDescent="0.25">
      <c r="A7" t="s">
        <v>5</v>
      </c>
      <c r="B7" s="10">
        <f>Assumptions!B7</f>
        <v>0.38308344064892164</v>
      </c>
      <c r="C7" s="10">
        <f>Assumptions!B7</f>
        <v>0.38308344064892164</v>
      </c>
      <c r="D7" s="10">
        <f>Assumptions!B7</f>
        <v>0.38308344064892164</v>
      </c>
      <c r="E7" s="10">
        <f>Assumptions!B7</f>
        <v>0.38308344064892164</v>
      </c>
      <c r="F7" s="10">
        <f>Assumptions!B7</f>
        <v>0.38308344064892164</v>
      </c>
    </row>
    <row r="8" spans="1:6" x14ac:dyDescent="0.25">
      <c r="A8" t="s">
        <v>44</v>
      </c>
      <c r="B8" s="18">
        <f>B6*B7</f>
        <v>3830063463.036167</v>
      </c>
      <c r="C8" s="18">
        <f>C6*C7</f>
        <v>4356356483.5105095</v>
      </c>
      <c r="D8" s="18">
        <f>D6*D7</f>
        <v>4954967977.574957</v>
      </c>
      <c r="E8" s="18">
        <f>E6*E7</f>
        <v>5635835302.213056</v>
      </c>
      <c r="F8" s="18">
        <f>F6*F7</f>
        <v>6410261317.00978</v>
      </c>
    </row>
    <row r="9" spans="1:6" x14ac:dyDescent="0.25">
      <c r="A9" t="s">
        <v>45</v>
      </c>
      <c r="B9" s="18">
        <f>B8*(1-Assumptions!B8)</f>
        <v>3648717008.4099164</v>
      </c>
      <c r="C9" s="18">
        <f>C8*(1-Assumptions!B8)</f>
        <v>4150091023.1605506</v>
      </c>
      <c r="D9" s="18">
        <f>D8*(1-Assumptions!B8)</f>
        <v>4720359364.900035</v>
      </c>
      <c r="E9" s="18">
        <f>E8*(1-Assumptions!B8)</f>
        <v>5368988875.051347</v>
      </c>
      <c r="F9" s="18">
        <f>F8*(1-Assumptions!B8)</f>
        <v>6106747243.6043215</v>
      </c>
    </row>
    <row r="10" spans="1:6" x14ac:dyDescent="0.25">
      <c r="A10" t="s">
        <v>46</v>
      </c>
      <c r="B10" s="18">
        <f>B6*Assumptions!B9</f>
        <v>3065747914.389787</v>
      </c>
      <c r="C10" s="18">
        <f>C6*Assumptions!B9</f>
        <v>3487015537.093375</v>
      </c>
      <c r="D10" s="18">
        <f>D6*Assumptions!B9</f>
        <v>3966169983.793598</v>
      </c>
      <c r="E10" s="18">
        <f>E6*Assumptions!B9</f>
        <v>4511165543.431325</v>
      </c>
      <c r="F10" s="18">
        <f>F6*Assumptions!B9</f>
        <v>5131049512.0980425</v>
      </c>
    </row>
    <row r="11" spans="1:6" x14ac:dyDescent="0.25">
      <c r="A11" t="s">
        <v>47</v>
      </c>
      <c r="B11" s="18">
        <f>-B6*Assumptions!B10</f>
        <v>-3065747914.389787</v>
      </c>
      <c r="C11" s="18">
        <f>-C6*Assumptions!B10</f>
        <v>-3487015537.093375</v>
      </c>
      <c r="D11" s="18">
        <f>-D6*Assumptions!B10</f>
        <v>-3966169983.793598</v>
      </c>
      <c r="E11" s="18">
        <f>-E6*Assumptions!B10</f>
        <v>-4511165543.431325</v>
      </c>
      <c r="F11" s="18">
        <f>-F6*Assumptions!B10</f>
        <v>-5131049512.0980425</v>
      </c>
    </row>
    <row r="12" spans="1:6" x14ac:dyDescent="0.25">
      <c r="A12" t="s">
        <v>48</v>
      </c>
      <c r="B12" s="18">
        <f>-(B6-Assumptions!B29)*Assumptions!B11</f>
        <v>-400669731.93915576</v>
      </c>
      <c r="C12" s="18">
        <f>-(C6-B6)*Assumptions!B11</f>
        <v>-455726178.25394946</v>
      </c>
      <c r="D12" s="18">
        <f>-(D6-C6)*Assumptions!B11</f>
        <v>-518347988.3563773</v>
      </c>
      <c r="E12" s="18">
        <f>-(E6-D6)*Assumptions!B11</f>
        <v>-589574726.7855681</v>
      </c>
      <c r="F12" s="18">
        <f>-(F6-E6)*Assumptions!B11</f>
        <v>-670588805.7296648</v>
      </c>
    </row>
    <row r="13" spans="1:6" x14ac:dyDescent="0.25">
      <c r="A13" s="19" t="s">
        <v>49</v>
      </c>
      <c r="B13" s="20">
        <f>B9+B10+B11+B12</f>
        <v>3248047276.470761</v>
      </c>
      <c r="C13" s="20">
        <f>C9+C10+C11+C12</f>
        <v>3694364844.9066005</v>
      </c>
      <c r="D13" s="20">
        <f>D9+D10+D11+D12</f>
        <v>4202011376.5436587</v>
      </c>
      <c r="E13" s="20">
        <f>E9+E10+E11+E12</f>
        <v>4779414148.265779</v>
      </c>
      <c r="F13" s="20">
        <f>F9+F10+F11+F12</f>
        <v>5436158437.874657</v>
      </c>
    </row>
    <row r="14" spans="1:6" x14ac:dyDescent="0.25">
      <c r="A14" t="s">
        <v>50</v>
      </c>
      <c r="B14" s="21">
        <f>1/(1+Assumptions!$B$26)^(1-0.5*Assumptions!$B$32)</f>
        <v>0.9526581389750489</v>
      </c>
      <c r="C14" s="21">
        <f>1/(1+Assumptions!$B$26)^(2-0.5*Assumptions!$B$32)</f>
        <v>0.8645920673095754</v>
      </c>
      <c r="D14" s="21">
        <f>1/(1+Assumptions!$B$26)^(3-0.5*Assumptions!$B$32)</f>
        <v>0.7846670408535957</v>
      </c>
      <c r="E14" s="21">
        <f>1/(1+Assumptions!$B$26)^(4-0.5*Assumptions!$B$32)</f>
        <v>0.7121304812775717</v>
      </c>
      <c r="F14" s="21">
        <f>1/(1+Assumptions!$B$26)^(5-0.5*Assumptions!$B$32)</f>
        <v>0.6462993804517997</v>
      </c>
    </row>
    <row r="15" spans="1:6" x14ac:dyDescent="0.25">
      <c r="A15" s="19" t="s">
        <v>51</v>
      </c>
      <c r="B15" s="20">
        <f>B13*B14</f>
        <v>3094278673.705611</v>
      </c>
      <c r="C15" s="20">
        <f>C13*C14</f>
        <v>3194118538.6536164</v>
      </c>
      <c r="D15" s="20">
        <f>D13*D14</f>
        <v>3297179832.465657</v>
      </c>
      <c r="E15" s="20">
        <f>E13*E14</f>
        <v>3403566497.6293445</v>
      </c>
      <c r="F15" s="20">
        <f>F13*F14</f>
        <v>3513385830.436214</v>
      </c>
    </row>
    <row r="17" spans="1:2" x14ac:dyDescent="0.25">
      <c r="A17" s="22" t="s">
        <v>52</v>
      </c>
      <c r="B17" s="23">
        <f>SUM(B15:F15)</f>
        <v>16502529372.890446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5436158437.874657</v>
      </c>
    </row>
    <row r="5" spans="1:2" x14ac:dyDescent="0.25">
      <c r="A5" t="s">
        <v>56</v>
      </c>
      <c r="B5" s="18">
        <f>IF(Assumptions!$B$33=0,B4,B4-Forecast!F11-Forecast!F10-Forecast!F12)</f>
        <v>6106747243.6043215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0.24543846766374494</v>
      </c>
    </row>
    <row r="7" spans="1:2" x14ac:dyDescent="0.25">
      <c r="A7" t="s">
        <v>58</v>
      </c>
      <c r="B7" s="18">
        <f>-MAX(Forecast!F9,0)*B6</f>
        <v>-1498830685.8800428</v>
      </c>
    </row>
    <row r="8" spans="1:2" x14ac:dyDescent="0.25">
      <c r="A8" t="s">
        <v>59</v>
      </c>
      <c r="B8" s="18">
        <f>IF(OR(Assumptions!$B$33=0,Assumptions!B12&lt;=0),B5,MAX(B5+B7,0))</f>
        <v>4607916557.724278</v>
      </c>
    </row>
    <row r="9" spans="1:2" x14ac:dyDescent="0.25">
      <c r="A9" t="s">
        <v>60</v>
      </c>
      <c r="B9" s="18">
        <f>B8*(1+Assumptions!B12)/(Assumptions!B26-Assumptions!B12)</f>
        <v>61452058121.08174</v>
      </c>
    </row>
    <row r="10" spans="1:2" x14ac:dyDescent="0.25">
      <c r="A10" t="s">
        <v>61</v>
      </c>
      <c r="B10" s="18">
        <f>B9/(1+Assumptions!B26)^(5-0.5*Assumptions!B32)</f>
        <v>39716427091.14311</v>
      </c>
    </row>
    <row r="11" spans="1:2" x14ac:dyDescent="0.25">
      <c r="A11" t="s">
        <v>62</v>
      </c>
      <c r="B11" s="18">
        <f>Forecast!B17+B10</f>
        <v>56218956464.033554</v>
      </c>
    </row>
    <row r="12" spans="1:2" x14ac:dyDescent="0.25">
      <c r="A12" t="s">
        <v>63</v>
      </c>
      <c r="B12" s="18">
        <f>-Assumptions!B30</f>
        <v>-34534887000</v>
      </c>
    </row>
    <row r="13" spans="1:2" x14ac:dyDescent="0.25">
      <c r="A13" t="s">
        <v>64</v>
      </c>
      <c r="B13" s="18">
        <f>B11+B12</f>
        <v>21684069464.033554</v>
      </c>
    </row>
    <row r="14" spans="1:2" x14ac:dyDescent="0.25">
      <c r="A14" s="19" t="s">
        <v>65</v>
      </c>
      <c r="B14" s="24">
        <f>B13/Assumptions!B31</f>
        <v>22.66235814023105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11541310829.107822</v>
      </c>
    </row>
    <row r="18" spans="1:2" x14ac:dyDescent="0.25">
      <c r="A18" t="s">
        <v>60</v>
      </c>
      <c r="B18" s="18">
        <f>B17*Assumptions!B13</f>
        <v>230826216582.15643</v>
      </c>
    </row>
    <row r="19" spans="1:2" x14ac:dyDescent="0.25">
      <c r="A19" t="s">
        <v>61</v>
      </c>
      <c r="B19" s="18">
        <f>B18/(1+Assumptions!B26)^(5-0.5*Assumptions!B32)</f>
        <v>149182840769.08063</v>
      </c>
    </row>
    <row r="20" spans="1:2" x14ac:dyDescent="0.25">
      <c r="A20" t="s">
        <v>62</v>
      </c>
      <c r="B20" s="18">
        <f>Forecast!B17+B19</f>
        <v>165685370141.97107</v>
      </c>
    </row>
    <row r="21" spans="1:2" x14ac:dyDescent="0.25">
      <c r="A21" t="s">
        <v>63</v>
      </c>
      <c r="B21" s="18">
        <f>-Assumptions!B30</f>
        <v>-34534887000</v>
      </c>
    </row>
    <row r="22" spans="1:2" x14ac:dyDescent="0.25">
      <c r="A22" t="s">
        <v>64</v>
      </c>
      <c r="B22" s="18">
        <f>B20+B21</f>
        <v>131150483141.97107</v>
      </c>
    </row>
    <row r="23" spans="1:2" x14ac:dyDescent="0.25">
      <c r="A23" s="19" t="s">
        <v>65</v>
      </c>
      <c r="B23" s="25">
        <f>B22/Assumptions!B31</f>
        <v>137.06740905610502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134.84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22.66235814023105</v>
      </c>
    </row>
    <row r="29" spans="1:2" x14ac:dyDescent="0.25">
      <c r="A29" s="19" t="s">
        <v>73</v>
      </c>
      <c r="B29" s="12">
        <f>B28/B26-1</f>
        <v>-0.8319314881323714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0.081859</v>
      </c>
      <c r="B5" s="31">
        <v>37.529335148679486</v>
      </c>
      <c r="C5" s="31">
        <v>37.80293121104047</v>
      </c>
      <c r="D5" s="31">
        <v>38.07652727340146</v>
      </c>
      <c r="E5" s="31">
        <v>38.350123335762476</v>
      </c>
      <c r="F5" s="31">
        <v>38.623719398123455</v>
      </c>
    </row>
    <row r="6" spans="1:6" x14ac:dyDescent="0.25">
      <c r="A6" s="30">
        <v>0.091859</v>
      </c>
      <c r="B6" s="31">
        <v>29.049762273595636</v>
      </c>
      <c r="C6" s="31">
        <v>29.283685331558274</v>
      </c>
      <c r="D6" s="31">
        <v>29.51760838952088</v>
      </c>
      <c r="E6" s="31">
        <v>29.75153144748352</v>
      </c>
      <c r="F6" s="31">
        <v>29.985454505446132</v>
      </c>
    </row>
    <row r="7" spans="1:6" x14ac:dyDescent="0.25">
      <c r="A7" s="30">
        <v>0.101859</v>
      </c>
      <c r="B7" s="31">
        <v>22.257108343680827</v>
      </c>
      <c r="C7" s="31">
        <v>22.45958629823317</v>
      </c>
      <c r="D7" s="32">
        <v>22.662064252785523</v>
      </c>
      <c r="E7" s="31">
        <v>22.864542207337866</v>
      </c>
      <c r="F7" s="31">
        <v>23.067020161890216</v>
      </c>
    </row>
    <row r="8" spans="1:6" x14ac:dyDescent="0.25">
      <c r="A8" s="30">
        <v>0.111859</v>
      </c>
      <c r="B8" s="31">
        <v>16.697920349791616</v>
      </c>
      <c r="C8" s="31">
        <v>16.874951464638112</v>
      </c>
      <c r="D8" s="31">
        <v>17.05198257948461</v>
      </c>
      <c r="E8" s="31">
        <v>17.229013694331094</v>
      </c>
      <c r="F8" s="31">
        <v>17.40604480917759</v>
      </c>
    </row>
    <row r="9" spans="1:6" x14ac:dyDescent="0.25">
      <c r="A9" s="30">
        <v>0.121859</v>
      </c>
      <c r="B9" s="31">
        <v>12.067647580215068</v>
      </c>
      <c r="C9" s="31">
        <v>12.223733743154206</v>
      </c>
      <c r="D9" s="31">
        <v>12.379819906093337</v>
      </c>
      <c r="E9" s="31">
        <v>12.535906069032476</v>
      </c>
      <c r="F9" s="31">
        <v>12.6919922319716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8790127000</v>
      </c>
      <c r="C5" s="18">
        <v>8201610000</v>
      </c>
      <c r="D5" s="18">
        <v>8023469000</v>
      </c>
      <c r="E5" s="18">
        <v>5973692000</v>
      </c>
      <c r="F5" s="8" t="s">
        <v>84</v>
      </c>
    </row>
    <row r="6" spans="1:6" x14ac:dyDescent="0.25">
      <c r="A6" t="s">
        <v>44</v>
      </c>
      <c r="B6" s="18">
        <v>3414302000</v>
      </c>
      <c r="C6" s="18">
        <v>3098041000</v>
      </c>
      <c r="D6" s="18">
        <v>3084483000</v>
      </c>
      <c r="E6" s="18">
        <v>2280402000</v>
      </c>
      <c r="F6" s="8" t="s">
        <v>85</v>
      </c>
    </row>
    <row r="7" spans="1:6" x14ac:dyDescent="0.25">
      <c r="A7" t="s">
        <v>86</v>
      </c>
      <c r="B7" s="18">
        <v>2626028000</v>
      </c>
      <c r="C7" s="18">
        <v>2580519000</v>
      </c>
      <c r="D7" s="18">
        <v>2484891000</v>
      </c>
      <c r="E7" s="18">
        <v>1812777000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89</v>
      </c>
    </row>
    <row r="9" spans="1:6" x14ac:dyDescent="0.25">
      <c r="A9" t="s">
        <v>90</v>
      </c>
      <c r="B9" s="18">
        <v>195222000</v>
      </c>
      <c r="C9" s="18">
        <v>126534000</v>
      </c>
      <c r="D9" s="18">
        <v>-70074000</v>
      </c>
      <c r="E9" s="18">
        <v>26224000</v>
      </c>
      <c r="F9" s="8" t="s">
        <v>91</v>
      </c>
    </row>
    <row r="10" spans="1:6" x14ac:dyDescent="0.25">
      <c r="A10" t="s">
        <v>92</v>
      </c>
      <c r="B10" s="18">
        <v>35680534000</v>
      </c>
      <c r="C10" s="18">
        <v>31494568000</v>
      </c>
      <c r="D10" s="18">
        <v>29598064000</v>
      </c>
      <c r="E10" s="18">
        <v>24514772000</v>
      </c>
      <c r="F10" s="8" t="s">
        <v>93</v>
      </c>
    </row>
    <row r="11" spans="1:6" x14ac:dyDescent="0.25">
      <c r="A11" t="s">
        <v>94</v>
      </c>
      <c r="B11" s="18">
        <v>1145647000</v>
      </c>
      <c r="C11" s="18">
        <v>1318591000</v>
      </c>
      <c r="D11" s="18">
        <v>530388000</v>
      </c>
      <c r="E11" s="18">
        <v>278483000</v>
      </c>
      <c r="F11" s="8" t="s">
        <v>95</v>
      </c>
    </row>
    <row r="12" spans="1:6" x14ac:dyDescent="0.25">
      <c r="A12" t="s">
        <v>32</v>
      </c>
      <c r="B12" s="34">
        <v>956832000</v>
      </c>
      <c r="C12" s="34">
        <v>953590000</v>
      </c>
      <c r="D12" s="34">
        <v>951791000</v>
      </c>
      <c r="E12" s="34">
        <v>811608000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2026-09-19T00:06:24Z</dcterms:modified>
</cp:coreProperties>
</file>