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<sst xmlns="http://schemas.openxmlformats.org/spreadsheetml/2006/main" count="122" uniqueCount="109">
  <si>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Palantir Technologies Inc. (PLTR)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</si>
  <si>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</si>
  <si>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</si>
  <si>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</si>
  <si>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</si>
  <si>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</si>
  <si>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</si>
  <si>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</si>
  <si>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</si>
  <si>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</si>
  <si>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</si>
  <si>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</si>
  <si>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</si>
  <si>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</si>
  <si>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</si>
  <si>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</si>
  <si>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</si>
  <si>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</si>
  <si>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</si>
  <si>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</si>
  <si>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</si>
  <si>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</si>
  <si>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</si>
  <si>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</si>
  <si>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</si>
  <si>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</si>
  <si>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</si>
  <si>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</si>
  <si>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</si>
  <si>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</si>
  <si>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</si>
  <si>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</si>
  <si>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</si>
  <si>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</si>
  <si>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</si>
  <si>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</si>
  <si>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</si>
  <si>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</si>
  <si>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</si>
  <si>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</si>
  <si>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</si>
  <si>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</si>
  <si>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</si>
  <si>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</si>
  <si>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</si>
  <si>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</si>
  <si>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</si>
  <si>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</si>
  <si>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</si>
  <si>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</si>
  <si>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</si>
  <si>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</si>
  <si>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</si>
  <si>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</si>
  <si>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</si>
  <si>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</si>
  <si>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</si>
  <si>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</si>
  <si>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</si>
  <si>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</si>
  <si>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</si>
  <si>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</si>
  <si>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</si>
  <si>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</si>
  <si>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</si>
  <si>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</si>
  <si>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</si>
  <si>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</si>
  <si>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</si>
  <si>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</si>
  <si>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</si>
  <si>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</si>
  <si>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</si>
  <si>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</si>
  <si>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</si>
  <si>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</si>
  <si>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</si>
  <si>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</si>
  <si>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</si>
  <si>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</si>
  <si>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</si>
  <si>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</si>
  <si>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</si>
  <si>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</si>
  <si>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</si>
  <si>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</si>
  <si>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</si>
  <si>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</si>
  <si>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</si>
  <si>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</si>
  <si>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</si>
  <si>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</si>
  <si>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</si>
  <si>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</si>
  <si>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</si>
  <si>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</si>
  <si>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</si>
  <si>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</si>
  <si>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</si>
  <si>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</si>
  <si>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</si>
  <si>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</si>
  <si>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</si>
  <si>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</si>
  <si>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</si>
  <si>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6.7%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</si>
  <si>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Reported capital expenditure averages just 0.99% of revenue, which is too low to be the company's real investment - property trusts and similar structures invest through lines that are not reported as capex. Capex has been set to 1.09%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</si>
  <si>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302.4x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</si>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</sst>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0.09840229769368213</v>
      </c>
    </row>
    <row r="8" spans="1:2" x14ac:dyDescent="0.25">
      <c r="A8" t="s">
        <v>5</v>
      </c>
      <c r="B8" s="5">
        <v>0.04345088547405519</v>
      </c>
    </row>
    <row r="9" spans="1:2" x14ac:dyDescent="0.25">
      <c r="A9" t="s">
        <v>6</v>
      </c>
      <c r="B9" s="5">
        <v>0.010918176542583844</v>
      </c>
    </row>
    <row r="10" spans="1:3" x14ac:dyDescent="0.25">
      <c r="A10" t="s">
        <v>7</v>
      </c>
      <c r="B10" s="5">
        <v>0.010918176542583844</v>
      </c>
      <c r="C10" s="6" t="s">
        <v>8</v>
      </c>
    </row>
    <row r="11" spans="1:2" x14ac:dyDescent="0.25">
      <c r="A11" t="s">
        <v>9</v>
      </c>
      <c r="B11" s="5">
        <v>0.1795711485012935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0.10827933716832597</v>
      </c>
      <c r="C14" s="6" t="s">
        <v>13</v>
      </c>
    </row>
    <row r="15" spans="1:3" x14ac:dyDescent="0.25">
      <c r="A15" t="s">
        <v>14</v>
      </c>
      <c r="B15" s="5">
        <v>0.010918176542583844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1.40334</v>
      </c>
      <c r="C19" s="6" t="s">
        <v>21</v>
      </c>
    </row>
    <row r="20" spans="1:2" x14ac:dyDescent="0.25">
      <c r="A20" t="s">
        <v>22</v>
      </c>
      <c r="B20" s="9">
        <f>B17+B19*B18</f>
        <v>0.108301282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442427080704</v>
      </c>
    </row>
    <row r="23" spans="1:2" x14ac:dyDescent="0.25">
      <c r="A23" t="s">
        <v>26</v>
      </c>
      <c r="B23" s="10">
        <v>229338000</v>
      </c>
    </row>
    <row r="24" spans="1:2" x14ac:dyDescent="0.25">
      <c r="A24" t="s">
        <v>27</v>
      </c>
      <c r="B24" s="9">
        <f>B22/(B22+B23)</f>
        <v>0.9994819051745111</v>
      </c>
    </row>
    <row r="25" spans="1:2" x14ac:dyDescent="0.25">
      <c r="A25" t="s">
        <v>28</v>
      </c>
      <c r="B25" s="9">
        <f>1-B24</f>
        <v>0.0005180948254889239</v>
      </c>
    </row>
    <row r="26" spans="1:2" x14ac:dyDescent="0.25">
      <c r="A26" t="s">
        <v>29</v>
      </c>
      <c r="B26" s="11">
        <f>B24*B20+B25*B21*(1-B8)</f>
        <v>0.10827933716832597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4475446000</v>
      </c>
      <c r="C29" s="6" t="s">
        <v>32</v>
      </c>
    </row>
    <row r="30" spans="1:2" x14ac:dyDescent="0.25">
      <c r="A30" t="s">
        <v>33</v>
      </c>
      <c r="B30" s="10">
        <v>-6947705000</v>
      </c>
    </row>
    <row r="31" spans="1:2" x14ac:dyDescent="0.25">
      <c r="A31" t="s">
        <v>34</v>
      </c>
      <c r="B31" s="12">
        <v>2565197000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9">
        <f>Assumptions!B6</f>
        <v>0.5</v>
      </c>
      <c r="D5" s="5">
        <v>0.440625</v>
      </c>
      <c r="E5" s="5">
        <v>0.38125</v>
      </c>
      <c r="F5" s="5">
        <v>0.321875</v>
      </c>
      <c r="G5" s="5">
        <v>0.2625</v>
      </c>
      <c r="H5" s="5">
        <v>0.203125</v>
      </c>
      <c r="I5" s="5">
        <v>0.14375000000000004</v>
      </c>
      <c r="J5" s="5">
        <v>0.08437500000000003</v>
      </c>
      <c r="K5" s="5">
        <v>0.025000000000000022</v>
      </c>
    </row>
    <row r="6" spans="1:11" x14ac:dyDescent="0.25">
      <c r="A6" t="s">
        <v>50</v>
      </c>
      <c r="B6" s="18">
        <f>Assumptions!B29*(1+B5)</f>
        <v>6713169000</v>
      </c>
      <c r="C6" s="18">
        <f>B6*(1+C5)</f>
        <v>10069753500</v>
      </c>
      <c r="D6" s="18">
        <f>C6*(1+D5)</f>
        <v>14506738635.9375</v>
      </c>
      <c r="E6" s="18">
        <f>D6*(1+E5)</f>
        <v>20037432740.88867</v>
      </c>
      <c r="F6" s="18">
        <f>E6*(1+F5)</f>
        <v>26486981404.362213</v>
      </c>
      <c r="G6" s="18">
        <f>F6*(1+G5)</f>
        <v>33439814023.007294</v>
      </c>
      <c r="H6" s="18">
        <f>G6*(1+H5)</f>
        <v>40232276246.43065</v>
      </c>
      <c r="I6" s="18">
        <f>H6*(1+I5)</f>
        <v>46015665956.85506</v>
      </c>
      <c r="J6" s="18">
        <f>I6*(1+J5)</f>
        <v>49898237771.96471</v>
      </c>
      <c r="K6" s="18">
        <f>J6*(1+K5)</f>
        <v>51145693716.26382</v>
      </c>
    </row>
    <row r="7" spans="1:11" x14ac:dyDescent="0.25">
      <c r="A7" t="s">
        <v>4</v>
      </c>
      <c r="B7" s="9">
        <f>Assumptions!B7</f>
        <v>0.09840229769368213</v>
      </c>
      <c r="C7" s="9">
        <f>Assumptions!B7</f>
        <v>0.09840229769368213</v>
      </c>
      <c r="D7" s="9">
        <f>Assumptions!B7</f>
        <v>0.09840229769368213</v>
      </c>
      <c r="E7" s="9">
        <f>Assumptions!B7</f>
        <v>0.09840229769368213</v>
      </c>
      <c r="F7" s="9">
        <f>Assumptions!B7</f>
        <v>0.09840229769368213</v>
      </c>
      <c r="G7" s="9">
        <f>Assumptions!B7</f>
        <v>0.09840229769368213</v>
      </c>
      <c r="H7" s="9">
        <f>Assumptions!B7</f>
        <v>0.09840229769368213</v>
      </c>
      <c r="I7" s="9">
        <f>Assumptions!B7</f>
        <v>0.09840229769368213</v>
      </c>
      <c r="J7" s="9">
        <f>Assumptions!B7</f>
        <v>0.09840229769368213</v>
      </c>
      <c r="K7" s="9">
        <f>Assumptions!B7</f>
        <v>0.09840229769368213</v>
      </c>
    </row>
    <row r="8" spans="1:11" x14ac:dyDescent="0.25">
      <c r="A8" t="s">
        <v>51</v>
      </c>
      <c r="B8" s="18">
        <f>B6*B7</f>
        <v>660591254.4059983</v>
      </c>
      <c r="C8" s="18">
        <f>C6*C7</f>
        <v>990886881.6089975</v>
      </c>
      <c r="D8" s="18">
        <f>D6*D7</f>
        <v>1427496413.817962</v>
      </c>
      <c r="E8" s="18">
        <f>E6*E7</f>
        <v>1971729421.58606</v>
      </c>
      <c r="F8" s="18">
        <f>F6*F7</f>
        <v>2606379829.1590734</v>
      </c>
      <c r="G8" s="18">
        <f>G6*G7</f>
        <v>3290554534.3133297</v>
      </c>
      <c r="H8" s="18">
        <f>H6*H7</f>
        <v>3958948424.0957246</v>
      </c>
      <c r="I8" s="18">
        <f>I6*I7</f>
        <v>4528047260.059485</v>
      </c>
      <c r="J8" s="18">
        <f>J6*J7</f>
        <v>4910101247.627005</v>
      </c>
      <c r="K8" s="18">
        <f>K6*K7</f>
        <v>5032853778.817679</v>
      </c>
    </row>
    <row r="9" spans="1:11" x14ac:dyDescent="0.25">
      <c r="A9" t="s">
        <v>52</v>
      </c>
      <c r="B9" s="18">
        <f>B8*(1-Assumptions!B8)</f>
        <v>631887979.4656409</v>
      </c>
      <c r="C9" s="18">
        <f>C8*(1-Assumptions!B8)</f>
        <v>947831969.1984613</v>
      </c>
      <c r="D9" s="18">
        <f>D8*(1-Assumptions!B8)</f>
        <v>1365470430.6265333</v>
      </c>
      <c r="E9" s="18">
        <f>E8*(1-Assumptions!B8)</f>
        <v>1886056032.3028991</v>
      </c>
      <c r="F9" s="18">
        <f>F8*(1-Assumptions!B8)</f>
        <v>2493130317.700395</v>
      </c>
      <c r="G9" s="18">
        <f>G8*(1-Assumptions!B8)</f>
        <v>3147577026.0967484</v>
      </c>
      <c r="H9" s="18">
        <f>H8*(1-Assumptions!B8)</f>
        <v>3786928609.5226502</v>
      </c>
      <c r="I9" s="18">
        <f>I8*(1-Assumptions!B8)</f>
        <v>4331299597.141531</v>
      </c>
      <c r="J9" s="18">
        <f>J8*(1-Assumptions!B8)</f>
        <v>4696753000.650349</v>
      </c>
      <c r="K9" s="18">
        <f>K8*(1-Assumptions!B8)</f>
        <v>4814171825.666607</v>
      </c>
    </row>
    <row r="10" spans="1:11" x14ac:dyDescent="0.25">
      <c r="A10" t="s">
        <v>53</v>
      </c>
      <c r="B10" s="18">
        <f>B6*Assumptions!B9</f>
        <v>73295564.30220105</v>
      </c>
      <c r="C10" s="18">
        <f>C6*Assumptions!B9</f>
        <v>109943346.45330156</v>
      </c>
      <c r="D10" s="18">
        <f>D6*Assumptions!B9</f>
        <v>158387133.48428756</v>
      </c>
      <c r="E10" s="18">
        <f>E6*Assumptions!B9</f>
        <v>218772228.1251722</v>
      </c>
      <c r="F10" s="18">
        <f>F6*Assumptions!B9</f>
        <v>289189539.052962</v>
      </c>
      <c r="G10" s="18">
        <f>G6*Assumptions!B9</f>
        <v>365101793.0543645</v>
      </c>
      <c r="H10" s="18">
        <f>H6*Assumptions!B9</f>
        <v>439263094.7685323</v>
      </c>
      <c r="I10" s="18">
        <f>I6*Assumptions!B9</f>
        <v>502407164.6415088</v>
      </c>
      <c r="J10" s="18">
        <f>J6*Assumptions!B9</f>
        <v>544797769.1581362</v>
      </c>
      <c r="K10" s="18">
        <f>K6*Assumptions!B9</f>
        <v>558417713.3870895</v>
      </c>
    </row>
    <row r="11" spans="1:11" x14ac:dyDescent="0.25">
      <c r="A11" t="s">
        <v>54</v>
      </c>
      <c r="B11" s="18">
        <f>-B6*B19</f>
        <v>-73295564.30220105</v>
      </c>
      <c r="C11" s="18">
        <f>-C6*C19</f>
        <v>-134258849.76132336</v>
      </c>
      <c r="D11" s="18">
        <f>-D6*D19</f>
        <v>-228446177.39052534</v>
      </c>
      <c r="E11" s="18">
        <f>-E6*E19</f>
        <v>-363925809.7184085</v>
      </c>
      <c r="F11" s="18">
        <f>-F6*F19</f>
        <v>-545022726.6110411</v>
      </c>
      <c r="G11" s="18">
        <f>-G6*G19</f>
        <v>-768838542.1694582</v>
      </c>
      <c r="H11" s="18">
        <f>-H6*H19</f>
        <v>-1022158026.3034487</v>
      </c>
      <c r="I11" s="18">
        <f>-I6*I19</f>
        <v>-1280207588.908413</v>
      </c>
      <c r="J11" s="18">
        <f>-J6*J19</f>
        <v>-1508714723.517478</v>
      </c>
      <c r="K11" s="18">
        <f>-K6*K19</f>
        <v>-1669934451.3827055</v>
      </c>
    </row>
    <row r="12" spans="1:11" x14ac:dyDescent="0.25">
      <c r="A12" t="s">
        <v>55</v>
      </c>
      <c r="B12" s="18">
        <f>-(B6-Assumptions!B29)*Assumptions!B11</f>
        <v>-401830489.13776</v>
      </c>
      <c r="C12" s="18">
        <f>-(C6-B6)*Assumptions!B11</f>
        <v>-602745733.70664</v>
      </c>
      <c r="D12" s="18">
        <f>-(D6-C6)*Assumptions!B11</f>
        <v>-796754516.7434647</v>
      </c>
      <c r="E12" s="18">
        <f>-(E6-D6)*Assumptions!B11</f>
        <v>-993153092.4354154</v>
      </c>
      <c r="F12" s="18">
        <f>-(F6-E6)*Assumptions!B11</f>
        <v>-1158152860.8149261</v>
      </c>
      <c r="G12" s="18">
        <f>-(G6-F6)*Assumptions!B11</f>
        <v>-1248528138.6673532</v>
      </c>
      <c r="H12" s="18">
        <f>-(H6-G6)*Assumptions!B11</f>
        <v>-1219730242.6117814</v>
      </c>
      <c r="I12" s="18">
        <f>-(I6-H6)*Assumptions!B11</f>
        <v>-1038529932.5314741</v>
      </c>
      <c r="J12" s="18">
        <f>-(J6-I6)*Assumptions!B11</f>
        <v>-697197879.9779915</v>
      </c>
      <c r="K12" s="18">
        <f>-(K6-J6)*Assumptions!B11</f>
        <v>-224007096.62255687</v>
      </c>
    </row>
    <row r="13" spans="1:11" x14ac:dyDescent="0.25">
      <c r="A13" s="19" t="s">
        <v>56</v>
      </c>
      <c r="B13" s="20">
        <f>B9+B10+B11+B12</f>
        <v>230057490.32788092</v>
      </c>
      <c r="C13" s="20">
        <f>C9+C10+C11+C12</f>
        <v>320770732.1837995</v>
      </c>
      <c r="D13" s="20">
        <f>D9+D10+D11+D12</f>
        <v>498656869.9768307</v>
      </c>
      <c r="E13" s="20">
        <f>E9+E10+E11+E12</f>
        <v>747749358.2742473</v>
      </c>
      <c r="F13" s="20">
        <f>F9+F10+F11+F12</f>
        <v>1079144269.3273897</v>
      </c>
      <c r="G13" s="20">
        <f>G9+G10+G11+G12</f>
        <v>1495312138.314302</v>
      </c>
      <c r="H13" s="20">
        <f>H9+H10+H11+H12</f>
        <v>1984303435.3759525</v>
      </c>
      <c r="I13" s="20">
        <f>I9+I10+I11+I12</f>
        <v>2514969240.343153</v>
      </c>
      <c r="J13" s="20">
        <f>J9+J10+J11+J12</f>
        <v>3035638166.3130155</v>
      </c>
      <c r="K13" s="20">
        <f>K9+K10+K11+K12</f>
        <v>3478647991.0484343</v>
      </c>
    </row>
    <row r="14" spans="1:11" x14ac:dyDescent="0.25">
      <c r="A14" t="s">
        <v>57</v>
      </c>
      <c r="B14" s="21">
        <f>1/(1+Assumptions!$B$26)^(1-0.5*Assumptions!$B$32)</f>
        <v>0.9498945192179314</v>
      </c>
      <c r="C14" s="21">
        <f>1/(1+Assumptions!$B$26)^(2-0.5*Assumptions!$B$32)</f>
        <v>0.8570894424910324</v>
      </c>
      <c r="D14" s="21">
        <f>1/(1+Assumptions!$B$26)^(3-0.5*Assumptions!$B$32)</f>
        <v>0.7733514591013775</v>
      </c>
      <c r="E14" s="21">
        <f>1/(1+Assumptions!$B$26)^(4-0.5*Assumptions!$B$32)</f>
        <v>0.6977947103816846</v>
      </c>
      <c r="F14" s="21">
        <f>1/(1+Assumptions!$B$26)^(5-0.5*Assumptions!$B$32)</f>
        <v>0.6296198864128992</v>
      </c>
      <c r="G14" s="21">
        <f>1/(1+Assumptions!$B$26)^(6-0.5*Assumptions!$B$32)</f>
        <v>0.5681057701766683</v>
      </c>
      <c r="H14" s="21">
        <f>1/(1+Assumptions!$B$26)^(7-0.5*Assumptions!$B$32)</f>
        <v>0.5126016078475206</v>
      </c>
      <c r="I14" s="21">
        <f>1/(1+Assumptions!$B$26)^(8-0.5*Assumptions!$B$32)</f>
        <v>0.46252022451057073</v>
      </c>
      <c r="J14" s="21">
        <f>1/(1+Assumptions!$B$26)^(9-0.5*Assumptions!$B$32)</f>
        <v>0.41733181247637297</v>
      </c>
      <c r="K14" s="21">
        <f>1/(1+Assumptions!$B$26)^(10-0.5*Assumptions!$B$32)</f>
        <v>0.37655832647991383</v>
      </c>
    </row>
    <row r="15" spans="1:11" x14ac:dyDescent="0.25">
      <c r="A15" s="19" t="s">
        <v>58</v>
      </c>
      <c r="B15" s="20">
        <f>B13*B14</f>
        <v>218530349.16748637</v>
      </c>
      <c r="C15" s="20">
        <f>C13*C14</f>
        <v>274929208.01485294</v>
      </c>
      <c r="D15" s="20">
        <f>D13*D14</f>
        <v>385637017.98750794</v>
      </c>
      <c r="E15" s="20">
        <f>E13*E14</f>
        <v>521775546.8950689</v>
      </c>
      <c r="F15" s="20">
        <f>F13*F14</f>
        <v>679450692.2770423</v>
      </c>
      <c r="G15" s="20">
        <f>G13*G14</f>
        <v>849495453.9915673</v>
      </c>
      <c r="H15" s="20">
        <f>H13*H14</f>
        <v>1017157131.431072</v>
      </c>
      <c r="I15" s="20">
        <f>I13*I14</f>
        <v>1163224137.6806946</v>
      </c>
      <c r="J15" s="20">
        <f>J13*J14</f>
        <v>1266868377.9698641</v>
      </c>
      <c r="K15" s="20">
        <f>K13*K14</f>
        <v>1309913865.9219127</v>
      </c>
    </row>
    <row r="17" spans="1:2" x14ac:dyDescent="0.25">
      <c r="A17" s="22" t="s">
        <v>59</v>
      </c>
      <c r="B17" s="23">
        <f>SUM(B15:K15)</f>
        <v>7686981781.337069</v>
      </c>
    </row>
    <row r="19" spans="1:11" x14ac:dyDescent="0.25">
      <c r="A19" t="s">
        <v>7</v>
      </c>
      <c r="B19" s="9">
        <f>Assumptions!$B$10+($B$20-Assumptions!$B$10)*0/9</f>
        <v>0.010918176542583844</v>
      </c>
      <c r="C19" s="9">
        <f>Assumptions!$B$10+($B$20-Assumptions!$B$10)*1/9</f>
        <v>0.013332883447576284</v>
      </c>
      <c r="D19" s="9">
        <f>Assumptions!$B$10+($B$20-Assumptions!$B$10)*2/9</f>
        <v>0.015747590352568723</v>
      </c>
      <c r="E19" s="9">
        <f>Assumptions!$B$10+($B$20-Assumptions!$B$10)*3/9</f>
        <v>0.01816229725756116</v>
      </c>
      <c r="F19" s="9">
        <f>Assumptions!$B$10+($B$20-Assumptions!$B$10)*4/9</f>
        <v>0.020577004162553602</v>
      </c>
      <c r="G19" s="9">
        <f>Assumptions!$B$10+($B$20-Assumptions!$B$10)*5/9</f>
        <v>0.022991711067546043</v>
      </c>
      <c r="H19" s="9">
        <f>Assumptions!$B$10+($B$20-Assumptions!$B$10)*6/9</f>
        <v>0.02540641797253848</v>
      </c>
      <c r="I19" s="9">
        <f>Assumptions!$B$10+($B$20-Assumptions!$B$10)*7/9</f>
        <v>0.027821124877530922</v>
      </c>
      <c r="J19" s="9">
        <f>Assumptions!$B$10+($B$20-Assumptions!$B$10)*8/9</f>
        <v>0.03023583178252336</v>
      </c>
      <c r="K19" s="9">
        <f>Assumptions!$B$10+($B$20-Assumptions!$B$10)*9/9</f>
        <v>0.0326505386875158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0.0326505386875158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3478647991.0484343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4814171825.666607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0.2308843095440839</v>
      </c>
    </row>
    <row r="7" spans="1:2" x14ac:dyDescent="0.25">
      <c r="A7" t="s">
        <v>66</v>
      </c>
      <c r="B7" s="18">
        <f>-MAX(B5,0)*B6</f>
        <v>-1111516737.9956164</v>
      </c>
    </row>
    <row r="8" spans="1:2" x14ac:dyDescent="0.25">
      <c r="A8" t="s">
        <v>67</v>
      </c>
      <c r="B8" s="18">
        <f>IF(OR(Assumptions!$B$33=0,Assumptions!B12&lt;=0),B5,MAX(B5+B7,0))</f>
        <v>3702655087.6709905</v>
      </c>
    </row>
    <row r="9" spans="1:2" x14ac:dyDescent="0.25">
      <c r="A9" t="s">
        <v>68</v>
      </c>
      <c r="B9" s="18">
        <f>B8*(1+Assumptions!B12)/(Assumptions!B26-Assumptions!B12)</f>
        <v>45572186257.82026</v>
      </c>
    </row>
    <row r="10" spans="1:2" x14ac:dyDescent="0.25">
      <c r="A10" t="s">
        <v>69</v>
      </c>
      <c r="B10" s="18">
        <f>B9/(1+Assumptions!B26)^(10-0.5*Assumptions!B32)</f>
        <v>17160586191.275724</v>
      </c>
    </row>
    <row r="11" spans="1:2" x14ac:dyDescent="0.25">
      <c r="A11" t="s">
        <v>70</v>
      </c>
      <c r="B11" s="18">
        <f>Forecast!B17+B10</f>
        <v>24847567972.612793</v>
      </c>
    </row>
    <row r="12" spans="1:2" x14ac:dyDescent="0.25">
      <c r="A12" t="s">
        <v>71</v>
      </c>
      <c r="B12" s="18">
        <f>-Assumptions!B30</f>
        <v>6947705000</v>
      </c>
    </row>
    <row r="13" spans="1:2" x14ac:dyDescent="0.25">
      <c r="A13" t="s">
        <v>72</v>
      </c>
      <c r="B13" s="18">
        <f>B11+B12</f>
        <v>31795272972.612793</v>
      </c>
    </row>
    <row r="14" spans="1:2" x14ac:dyDescent="0.25">
      <c r="A14" s="19" t="s">
        <v>73</v>
      </c>
      <c r="B14" s="24">
        <f>B13/Assumptions!B31</f>
        <v>12.394865958681844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5591271492.204769</v>
      </c>
    </row>
    <row r="18" spans="1:2" x14ac:dyDescent="0.25">
      <c r="A18" t="s">
        <v>68</v>
      </c>
      <c r="B18" s="18">
        <f>B17*Assumptions!B13</f>
        <v>111825429844.09538</v>
      </c>
    </row>
    <row r="19" spans="1:2" x14ac:dyDescent="0.25">
      <c r="A19" t="s">
        <v>69</v>
      </c>
      <c r="B19" s="18">
        <f>B18/(1+Assumptions!B26)^(10-0.5*Assumptions!B32)</f>
        <v>42108796719.98957</v>
      </c>
    </row>
    <row r="20" spans="1:2" x14ac:dyDescent="0.25">
      <c r="A20" t="s">
        <v>70</v>
      </c>
      <c r="B20" s="18">
        <f>Forecast!B17+B19</f>
        <v>49795778501.32664</v>
      </c>
    </row>
    <row r="21" spans="1:2" x14ac:dyDescent="0.25">
      <c r="A21" t="s">
        <v>71</v>
      </c>
      <c r="B21" s="18">
        <f>-Assumptions!B30</f>
        <v>6947705000</v>
      </c>
    </row>
    <row r="22" spans="1:2" x14ac:dyDescent="0.25">
      <c r="A22" t="s">
        <v>72</v>
      </c>
      <c r="B22" s="18">
        <f>B20+B21</f>
        <v>56743483501.32664</v>
      </c>
    </row>
    <row r="23" spans="1:2" x14ac:dyDescent="0.25">
      <c r="A23" s="19" t="s">
        <v>73</v>
      </c>
      <c r="B23" s="25">
        <f>B22/Assumptions!B31</f>
        <v>22.12051686530377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184.11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12.394865958681844</v>
      </c>
    </row>
    <row r="29" spans="1:2" x14ac:dyDescent="0.25">
      <c r="A29" s="19" t="s">
        <v>81</v>
      </c>
      <c r="B29" s="11">
        <f>B28/B26-1</f>
        <v>-0.9326768455886055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0.088279</v>
      </c>
      <c r="B5" s="31">
        <v>15.98195546641267</v>
      </c>
      <c r="C5" s="31">
        <v>15.806683793512757</v>
      </c>
      <c r="D5" s="31">
        <v>15.631412120612838</v>
      </c>
      <c r="E5" s="31">
        <v>15.456140447712924</v>
      </c>
      <c r="F5" s="31">
        <v>15.280868774813008</v>
      </c>
    </row>
    <row r="6" spans="1:6" x14ac:dyDescent="0.25">
      <c r="A6" s="30">
        <v>0.098279</v>
      </c>
      <c r="B6" s="31">
        <v>14.129660075158611</v>
      </c>
      <c r="C6" s="31">
        <v>13.981357961933048</v>
      </c>
      <c r="D6" s="31">
        <v>13.833055848707483</v>
      </c>
      <c r="E6" s="31">
        <v>13.684753735481921</v>
      </c>
      <c r="F6" s="31">
        <v>13.536451622256358</v>
      </c>
    </row>
    <row r="7" spans="1:6" x14ac:dyDescent="0.25">
      <c r="A7" s="30">
        <v>0.108279</v>
      </c>
      <c r="B7" s="31">
        <v>12.64870271819793</v>
      </c>
      <c r="C7" s="31">
        <v>12.521806120064213</v>
      </c>
      <c r="D7" s="32">
        <v>12.394909521930492</v>
      </c>
      <c r="E7" s="31">
        <v>12.268012923796775</v>
      </c>
      <c r="F7" s="31">
        <v>12.14111632566305</v>
      </c>
    </row>
    <row r="8" spans="1:6" x14ac:dyDescent="0.25">
      <c r="A8" s="30">
        <v>0.118279</v>
      </c>
      <c r="B8" s="31">
        <v>11.442854671121669</v>
      </c>
      <c r="C8" s="31">
        <v>11.333253801372566</v>
      </c>
      <c r="D8" s="31">
        <v>11.22365293162346</v>
      </c>
      <c r="E8" s="31">
        <v>11.114052061874355</v>
      </c>
      <c r="F8" s="31">
        <v>11.004451192125252</v>
      </c>
    </row>
    <row r="9" spans="1:6" x14ac:dyDescent="0.25">
      <c r="A9" s="30">
        <v>0.128279</v>
      </c>
      <c r="B9" s="31">
        <v>10.446057934725197</v>
      </c>
      <c r="C9" s="31">
        <v>10.350640224852647</v>
      </c>
      <c r="D9" s="31">
        <v>10.255222514980098</v>
      </c>
      <c r="E9" s="31">
        <v>10.159804805107548</v>
      </c>
      <c r="F9" s="31">
        <v>10.064387095234999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4475446000</v>
      </c>
      <c r="C5" s="18">
        <v>2865507000</v>
      </c>
      <c r="D5" s="18">
        <v>2225012000</v>
      </c>
      <c r="E5" s="18">
        <v>1905871000</v>
      </c>
      <c r="F5" s="6" t="s">
        <v>91</v>
      </c>
    </row>
    <row r="6" spans="1:6" x14ac:dyDescent="0.25">
      <c r="A6" t="s">
        <v>51</v>
      </c>
      <c r="B6" s="18">
        <v>1414015000</v>
      </c>
      <c r="C6" s="18">
        <v>310403000</v>
      </c>
      <c r="D6" s="18">
        <v>119966000</v>
      </c>
      <c r="E6" s="18">
        <v>-161201000</v>
      </c>
      <c r="F6" s="6" t="s">
        <v>92</v>
      </c>
    </row>
    <row r="7" spans="1:6" x14ac:dyDescent="0.25">
      <c r="A7" t="s">
        <v>93</v>
      </c>
      <c r="B7" s="18">
        <v>26145000</v>
      </c>
      <c r="C7" s="18">
        <v>31587000</v>
      </c>
      <c r="D7" s="18">
        <v>33354000</v>
      </c>
      <c r="E7" s="18">
        <v>22522000</v>
      </c>
      <c r="F7" s="6" t="s">
        <v>94</v>
      </c>
    </row>
    <row r="8" spans="1:6" x14ac:dyDescent="0.25">
      <c r="A8" t="s">
        <v>95</v>
      </c>
      <c r="B8" s="18">
        <v>33882000</v>
      </c>
      <c r="C8" s="18">
        <v>12634000</v>
      </c>
      <c r="D8" s="18">
        <v>15114000</v>
      </c>
      <c r="E8" s="18">
        <v>40027000</v>
      </c>
      <c r="F8" s="6" t="s">
        <v>96</v>
      </c>
    </row>
    <row r="9" spans="1:6" x14ac:dyDescent="0.25">
      <c r="A9" t="s">
        <v>97</v>
      </c>
      <c r="B9" s="18">
        <v>209963000</v>
      </c>
      <c r="C9" s="18">
        <v>70097000</v>
      </c>
      <c r="D9" s="18">
        <v>-6236000</v>
      </c>
      <c r="E9" s="18">
        <v>261217000</v>
      </c>
      <c r="F9" s="6" t="s">
        <v>98</v>
      </c>
    </row>
    <row r="10" spans="1:6" x14ac:dyDescent="0.25">
      <c r="A10" t="s">
        <v>99</v>
      </c>
      <c r="B10" s="18">
        <v>229338000</v>
      </c>
      <c r="C10" s="18">
        <v>239219000</v>
      </c>
      <c r="D10" s="18">
        <v>229392000</v>
      </c>
      <c r="E10" s="18">
        <v>249404000</v>
      </c>
      <c r="F10" s="6" t="s">
        <v>100</v>
      </c>
    </row>
    <row r="11" spans="1:6" x14ac:dyDescent="0.25">
      <c r="A11" t="s">
        <v>101</v>
      </c>
      <c r="B11" s="18">
        <v>7177043000</v>
      </c>
      <c r="C11" s="18">
        <v>5229987000</v>
      </c>
      <c r="D11" s="18">
        <v>3674179000</v>
      </c>
      <c r="E11" s="18">
        <v>2633675000</v>
      </c>
      <c r="F11" s="6" t="s">
        <v>102</v>
      </c>
    </row>
    <row r="12" spans="1:6" x14ac:dyDescent="0.25">
      <c r="A12" t="s">
        <v>34</v>
      </c>
      <c r="B12" s="34">
        <v>2565197000</v>
      </c>
      <c r="C12" s="34">
        <v>2447246030</v>
      </c>
      <c r="D12" s="34">
        <v>2294577862</v>
      </c>
      <c r="E12" s="34">
        <v>2060785103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86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