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<sst xmlns="http://schemas.openxmlformats.org/spreadsheetml/2006/main" count="114" uniqueCount="102">
  <si>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Palantir Technologies Inc. (PLTR)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</si>
  <si>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</si>
  <si>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</si>
  <si>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</si>
  <si>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</si>
  <si>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</si>
  <si>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</si>
  <si>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</si>
  <si>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</si>
  <si>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</si>
  <si>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</si>
  <si>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</si>
  <si>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</si>
  <si>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</si>
  <si>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</si>
  <si>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</si>
  <si>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</si>
  <si>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</si>
  <si>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</si>
  <si>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</si>
  <si>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</si>
  <si>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</si>
  <si>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</si>
  <si>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</si>
  <si>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</si>
  <si>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</si>
  <si>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</si>
  <si>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</si>
  <si>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</si>
  <si>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</si>
  <si>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</si>
  <si>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</si>
  <si>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</si>
  <si>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</si>
  <si>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</si>
  <si>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</si>
  <si>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</si>
  <si>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</si>
  <si>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</si>
  <si>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</si>
  <si>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</si>
  <si>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</si>
  <si>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</si>
  <si>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</si>
  <si>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</si>
  <si>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</si>
  <si>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</si>
  <si>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</si>
  <si>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</si>
  <si>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</si>
  <si>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</si>
  <si>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</si>
  <si>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</si>
  <si>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</si>
  <si>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</si>
  <si>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</si>
  <si>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</si>
  <si>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</si>
  <si>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</si>
  <si>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</si>
  <si>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</si>
  <si>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</si>
  <si>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</si>
  <si>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</si>
  <si>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</si>
  <si>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</si>
  <si>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</si>
  <si>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</si>
  <si>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</si>
  <si>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</si>
  <si>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</si>
  <si>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</si>
  <si>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</si>
  <si>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</si>
  <si>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</si>
  <si>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</si>
  <si>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</si>
  <si>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</si>
  <si>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</si>
  <si>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</si>
  <si>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</si>
  <si>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</si>
  <si>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</si>
  <si>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</si>
  <si>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</si>
  <si>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</si>
  <si>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</si>
  <si>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</si>
  <si>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</si>
  <si>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</si>
  <si>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</si>
  <si>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</si>
  <si>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</si>
  <si>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</si>
  <si>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</si>
  <si>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</si>
  <si>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</si>
  <si>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</si>
  <si>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3.9%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</si>
  <si>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Reported capital expenditure averages just 0.99% of revenue, which is too low to be the company's real investment - property trusts and similar structures invest through lines that are not reported as capex. Capex has been set to 1.09%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</si>
  <si>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291.6x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</si>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</sst>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0.32917125287657845</v>
      </c>
    </row>
    <row r="7" spans="1:2" x14ac:dyDescent="0.25">
      <c r="A7" t="s">
        <v>5</v>
      </c>
      <c r="B7" s="6">
        <v>0.09840229769368213</v>
      </c>
    </row>
    <row r="8" spans="1:2" x14ac:dyDescent="0.25">
      <c r="A8" t="s">
        <v>6</v>
      </c>
      <c r="B8" s="6">
        <v>0.04345088547405519</v>
      </c>
    </row>
    <row r="9" spans="1:2" x14ac:dyDescent="0.25">
      <c r="A9" t="s">
        <v>7</v>
      </c>
      <c r="B9" s="6">
        <v>0.010918176542583844</v>
      </c>
    </row>
    <row r="10" spans="1:2" x14ac:dyDescent="0.25">
      <c r="A10" t="s">
        <v>8</v>
      </c>
      <c r="B10" s="6">
        <v>0.010918176542583844</v>
      </c>
    </row>
    <row r="11" spans="1:2" x14ac:dyDescent="0.25">
      <c r="A11" t="s">
        <v>9</v>
      </c>
      <c r="B11" s="6">
        <v>0.10944191601807976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0.12783113627799325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1.41607</v>
      </c>
      <c r="C19" s="8" t="s">
        <v>19</v>
      </c>
    </row>
    <row r="20" spans="1:2" x14ac:dyDescent="0.25">
      <c r="A20" t="s">
        <v>20</v>
      </c>
      <c r="B20" s="10">
        <f>B17+B19*B18</f>
        <v>0.12786385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426879287296</v>
      </c>
    </row>
    <row r="23" spans="1:2" x14ac:dyDescent="0.25">
      <c r="A23" t="s">
        <v>24</v>
      </c>
      <c r="B23" s="11">
        <v>229338000</v>
      </c>
    </row>
    <row r="24" spans="1:2" x14ac:dyDescent="0.25">
      <c r="A24" t="s">
        <v>25</v>
      </c>
      <c r="B24" s="10">
        <f>B22/(B22+B23)</f>
        <v>0.9994630452619845</v>
      </c>
    </row>
    <row r="25" spans="1:2" x14ac:dyDescent="0.25">
      <c r="A25" t="s">
        <v>26</v>
      </c>
      <c r="B25" s="10">
        <f>1-B24</f>
        <v>0.000536954738015516</v>
      </c>
    </row>
    <row r="26" spans="1:2" x14ac:dyDescent="0.25">
      <c r="A26" t="s">
        <v>27</v>
      </c>
      <c r="B26" s="12">
        <f>B24*B20+B25*B21*(1-B8)</f>
        <v>0.12783113627799325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4475446000</v>
      </c>
      <c r="C29" s="8" t="s">
        <v>30</v>
      </c>
    </row>
    <row r="30" spans="1:2" x14ac:dyDescent="0.25">
      <c r="A30" t="s">
        <v>31</v>
      </c>
      <c r="B30" s="11">
        <v>-6947705000</v>
      </c>
    </row>
    <row r="31" spans="1:2" x14ac:dyDescent="0.25">
      <c r="A31" t="s">
        <v>32</v>
      </c>
      <c r="B31" s="13">
        <v>2565197000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0.32917125287657845</v>
      </c>
      <c r="C5" s="10">
        <f>Assumptions!B6</f>
        <v>0.32917125287657845</v>
      </c>
      <c r="D5" s="10">
        <f>Assumptions!B6</f>
        <v>0.32917125287657845</v>
      </c>
      <c r="E5" s="10">
        <f>Assumptions!B6</f>
        <v>0.32917125287657845</v>
      </c>
      <c r="F5" s="10">
        <f>Assumptions!B6</f>
        <v>0.32917125287657845</v>
      </c>
    </row>
    <row r="6" spans="1:6" x14ac:dyDescent="0.25">
      <c r="A6" t="s">
        <v>43</v>
      </c>
      <c r="B6" s="18">
        <f>Assumptions!B29*(1+B5)</f>
        <v>5948634167.0014715</v>
      </c>
      <c r="C6" s="18">
        <f>B6*(1+C5)</f>
        <v>7906753528.657767</v>
      </c>
      <c r="D6" s="18">
        <f>C6*(1+D5)</f>
        <v>10509429493.872353</v>
      </c>
      <c r="E6" s="18">
        <f>D6*(1+E5)</f>
        <v>13968831567.38838</v>
      </c>
      <c r="F6" s="18">
        <f>E6*(1+F5)</f>
        <v>18566969355.64751</v>
      </c>
    </row>
    <row r="7" spans="1:6" x14ac:dyDescent="0.25">
      <c r="A7" t="s">
        <v>5</v>
      </c>
      <c r="B7" s="10">
        <f>Assumptions!B7</f>
        <v>0.09840229769368213</v>
      </c>
      <c r="C7" s="10">
        <f>Assumptions!B7</f>
        <v>0.09840229769368213</v>
      </c>
      <c r="D7" s="10">
        <f>Assumptions!B7</f>
        <v>0.09840229769368213</v>
      </c>
      <c r="E7" s="10">
        <f>Assumptions!B7</f>
        <v>0.09840229769368213</v>
      </c>
      <c r="F7" s="10">
        <f>Assumptions!B7</f>
        <v>0.09840229769368213</v>
      </c>
    </row>
    <row r="8" spans="1:6" x14ac:dyDescent="0.25">
      <c r="A8" t="s">
        <v>44</v>
      </c>
      <c r="B8" s="18">
        <f>B6*B7</f>
        <v>585359270.1720876</v>
      </c>
      <c r="C8" s="18">
        <f>C6*C7</f>
        <v>778042714.5175532</v>
      </c>
      <c r="D8" s="18">
        <f>D6*D7</f>
        <v>1034152009.6467903</v>
      </c>
      <c r="E8" s="18">
        <f>E6*E7</f>
        <v>1374565122.3270557</v>
      </c>
      <c r="F8" s="18">
        <f>F6*F7</f>
        <v>1827032445.8038998</v>
      </c>
    </row>
    <row r="9" spans="1:6" x14ac:dyDescent="0.25">
      <c r="A9" t="s">
        <v>45</v>
      </c>
      <c r="B9" s="18">
        <f>B8*(1-Assumptions!B8)</f>
        <v>559924891.5626637</v>
      </c>
      <c r="C9" s="18">
        <f>C8*(1-Assumptions!B8)</f>
        <v>744236069.635128</v>
      </c>
      <c r="D9" s="18">
        <f>D8*(1-Assumptions!B8)</f>
        <v>989217189.1128635</v>
      </c>
      <c r="E9" s="18">
        <f>E8*(1-Assumptions!B8)</f>
        <v>1314839050.620192</v>
      </c>
      <c r="F9" s="18">
        <f>F8*(1-Assumptions!B8)</f>
        <v>1747646268.2438915</v>
      </c>
    </row>
    <row r="10" spans="1:6" x14ac:dyDescent="0.25">
      <c r="A10" t="s">
        <v>46</v>
      </c>
      <c r="B10" s="18">
        <f>B6*Assumptions!B9</f>
        <v>64948238.02256825</v>
      </c>
      <c r="C10" s="18">
        <f>C6*Assumptions!B9</f>
        <v>86327330.90458328</v>
      </c>
      <c r="D10" s="18">
        <f>D6*Assumptions!B9</f>
        <v>114743806.57593592</v>
      </c>
      <c r="E10" s="18">
        <f>E6*Assumptions!B9</f>
        <v>152514169.1463645</v>
      </c>
      <c r="F10" s="18">
        <f>F6*Assumptions!B9</f>
        <v>202717449.28570372</v>
      </c>
    </row>
    <row r="11" spans="1:6" x14ac:dyDescent="0.25">
      <c r="A11" t="s">
        <v>47</v>
      </c>
      <c r="B11" s="18">
        <f>-B6*Assumptions!B10</f>
        <v>-64948238.02256825</v>
      </c>
      <c r="C11" s="18">
        <f>-C6*Assumptions!B10</f>
        <v>-86327330.90458328</v>
      </c>
      <c r="D11" s="18">
        <f>-D6*Assumptions!B10</f>
        <v>-114743806.57593592</v>
      </c>
      <c r="E11" s="18">
        <f>-E6*Assumptions!B10</f>
        <v>-152514169.1463645</v>
      </c>
      <c r="F11" s="18">
        <f>-F6*Assumptions!B10</f>
        <v>-202717449.28570372</v>
      </c>
    </row>
    <row r="12" spans="1:6" x14ac:dyDescent="0.25">
      <c r="A12" t="s">
        <v>48</v>
      </c>
      <c r="B12" s="18">
        <f>-(B6-Assumptions!B29)*Assumptions!B11</f>
        <v>-161228535.6518039</v>
      </c>
      <c r="C12" s="18">
        <f>-(C6-B6)*Assumptions!B11</f>
        <v>-214300334.73176426</v>
      </c>
      <c r="D12" s="18">
        <f>-(D6-C6)*Assumptions!B11</f>
        <v>-284841844.4072893</v>
      </c>
      <c r="E12" s="18">
        <f>-(E6-D6)*Assumptions!B11</f>
        <v>-378603591.2025121</v>
      </c>
      <c r="F12" s="18">
        <f>-(F6-E6)*Assumptions!B11</f>
        <v>-503229009.66221476</v>
      </c>
    </row>
    <row r="13" spans="1:6" x14ac:dyDescent="0.25">
      <c r="A13" s="19" t="s">
        <v>49</v>
      </c>
      <c r="B13" s="20">
        <f>B9+B10+B11+B12</f>
        <v>398696355.91085976</v>
      </c>
      <c r="C13" s="20">
        <f>C9+C10+C11+C12</f>
        <v>529935734.90336376</v>
      </c>
      <c r="D13" s="20">
        <f>D9+D10+D11+D12</f>
        <v>704375344.705574</v>
      </c>
      <c r="E13" s="20">
        <f>E9+E10+E11+E12</f>
        <v>936235459.41768</v>
      </c>
      <c r="F13" s="20">
        <f>F9+F10+F11+F12</f>
        <v>1244417258.5816767</v>
      </c>
    </row>
    <row r="14" spans="1:6" x14ac:dyDescent="0.25">
      <c r="A14" t="s">
        <v>50</v>
      </c>
      <c r="B14" s="21">
        <f>1/(1+Assumptions!$B$26)^(1-0.5*Assumptions!$B$32)</f>
        <v>0.9416249555950122</v>
      </c>
      <c r="C14" s="21">
        <f>1/(1+Assumptions!$B$26)^(2-0.5*Assumptions!$B$32)</f>
        <v>0.8348988827374562</v>
      </c>
      <c r="D14" s="21">
        <f>1/(1+Assumptions!$B$26)^(3-0.5*Assumptions!$B$32)</f>
        <v>0.7402694037094452</v>
      </c>
      <c r="E14" s="21">
        <f>1/(1+Assumptions!$B$26)^(4-0.5*Assumptions!$B$32)</f>
        <v>0.6563654610143516</v>
      </c>
      <c r="F14" s="21">
        <f>1/(1+Assumptions!$B$26)^(5-0.5*Assumptions!$B$32)</f>
        <v>0.58197139616171</v>
      </c>
    </row>
    <row r="15" spans="1:6" x14ac:dyDescent="0.25">
      <c r="A15" s="19" t="s">
        <v>51</v>
      </c>
      <c r="B15" s="20">
        <f>B13*B14</f>
        <v>375422438.4304565</v>
      </c>
      <c r="C15" s="20">
        <f>C13*C14</f>
        <v>442442752.99347115</v>
      </c>
      <c r="D15" s="20">
        <f>D13*D14</f>
        <v>521427516.4128302</v>
      </c>
      <c r="E15" s="20">
        <f>E13*E14</f>
        <v>614512618.9386687</v>
      </c>
      <c r="F15" s="20">
        <f>F13*F14</f>
        <v>724215249.3845061</v>
      </c>
    </row>
    <row r="17" spans="1:2" x14ac:dyDescent="0.25">
      <c r="A17" s="22" t="s">
        <v>52</v>
      </c>
      <c r="B17" s="23">
        <f>SUM(B15:F15)</f>
        <v>2678020576.1599326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1244417258.5816767</v>
      </c>
    </row>
    <row r="5" spans="1:2" x14ac:dyDescent="0.25">
      <c r="A5" t="s">
        <v>56</v>
      </c>
      <c r="B5" s="18">
        <f>IF(Assumptions!$B$33=0,B4,B4-Forecast!F11-Forecast!F10-Forecast!F12)</f>
        <v>1747646268.2438915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0.19557050596525027</v>
      </c>
    </row>
    <row r="7" spans="1:2" x14ac:dyDescent="0.25">
      <c r="A7" t="s">
        <v>58</v>
      </c>
      <c r="B7" s="18">
        <f>-MAX(Forecast!F9,0)*B6</f>
        <v>-341788064.92873937</v>
      </c>
    </row>
    <row r="8" spans="1:2" x14ac:dyDescent="0.25">
      <c r="A8" t="s">
        <v>59</v>
      </c>
      <c r="B8" s="18">
        <f>IF(OR(Assumptions!$B$33=0,Assumptions!B12&lt;=0),B5,MAX(B5+B7,0))</f>
        <v>1405858203.3151522</v>
      </c>
    </row>
    <row r="9" spans="1:2" x14ac:dyDescent="0.25">
      <c r="A9" t="s">
        <v>60</v>
      </c>
      <c r="B9" s="18">
        <f>B8*(1+Assumptions!B12)/(Assumptions!B26-Assumptions!B12)</f>
        <v>14013310662.078312</v>
      </c>
    </row>
    <row r="10" spans="1:2" x14ac:dyDescent="0.25">
      <c r="A10" t="s">
        <v>61</v>
      </c>
      <c r="B10" s="18">
        <f>B9/(1+Assumptions!B26)^(5-0.5*Assumptions!B32)</f>
        <v>8155345970.857492</v>
      </c>
    </row>
    <row r="11" spans="1:2" x14ac:dyDescent="0.25">
      <c r="A11" t="s">
        <v>62</v>
      </c>
      <c r="B11" s="18">
        <f>Forecast!B17+B10</f>
        <v>10833366547.017426</v>
      </c>
    </row>
    <row r="12" spans="1:2" x14ac:dyDescent="0.25">
      <c r="A12" t="s">
        <v>63</v>
      </c>
      <c r="B12" s="18">
        <f>-Assumptions!B30</f>
        <v>6947705000</v>
      </c>
    </row>
    <row r="13" spans="1:2" x14ac:dyDescent="0.25">
      <c r="A13" t="s">
        <v>64</v>
      </c>
      <c r="B13" s="18">
        <f>B11+B12</f>
        <v>17781071547.017426</v>
      </c>
    </row>
    <row r="14" spans="1:2" x14ac:dyDescent="0.25">
      <c r="A14" s="19" t="s">
        <v>65</v>
      </c>
      <c r="B14" s="24">
        <f>B13/Assumptions!B31</f>
        <v>6.931659263213478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2029749895.0896034</v>
      </c>
    </row>
    <row r="18" spans="1:2" x14ac:dyDescent="0.25">
      <c r="A18" t="s">
        <v>60</v>
      </c>
      <c r="B18" s="18">
        <f>B17*Assumptions!B13</f>
        <v>40594997901.79207</v>
      </c>
    </row>
    <row r="19" spans="1:2" x14ac:dyDescent="0.25">
      <c r="A19" t="s">
        <v>61</v>
      </c>
      <c r="B19" s="18">
        <f>B18/(1+Assumptions!B26)^(5-0.5*Assumptions!B32)</f>
        <v>23625127606.08762</v>
      </c>
    </row>
    <row r="20" spans="1:2" x14ac:dyDescent="0.25">
      <c r="A20" t="s">
        <v>62</v>
      </c>
      <c r="B20" s="18">
        <f>Forecast!B17+B19</f>
        <v>26303148182.24755</v>
      </c>
    </row>
    <row r="21" spans="1:2" x14ac:dyDescent="0.25">
      <c r="A21" t="s">
        <v>63</v>
      </c>
      <c r="B21" s="18">
        <f>-Assumptions!B30</f>
        <v>6947705000</v>
      </c>
    </row>
    <row r="22" spans="1:2" x14ac:dyDescent="0.25">
      <c r="A22" t="s">
        <v>64</v>
      </c>
      <c r="B22" s="18">
        <f>B20+B21</f>
        <v>33250853182.24755</v>
      </c>
    </row>
    <row r="23" spans="1:2" x14ac:dyDescent="0.25">
      <c r="A23" s="19" t="s">
        <v>65</v>
      </c>
      <c r="B23" s="25">
        <f>B22/Assumptions!B31</f>
        <v>12.962300042549384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177.64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6.931659263213478</v>
      </c>
    </row>
    <row r="29" spans="1:2" x14ac:dyDescent="0.25">
      <c r="A29" s="19" t="s">
        <v>73</v>
      </c>
      <c r="B29" s="12">
        <f>B28/B26-1</f>
        <v>-0.9609791755054409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0.107831</v>
      </c>
      <c r="B5" s="31">
        <v>7.851945219618366</v>
      </c>
      <c r="C5" s="31">
        <v>7.871871597898577</v>
      </c>
      <c r="D5" s="31">
        <v>7.891797976178787</v>
      </c>
      <c r="E5" s="31">
        <v>7.911724354458998</v>
      </c>
      <c r="F5" s="31">
        <v>7.931650732739208</v>
      </c>
    </row>
    <row r="6" spans="1:6" x14ac:dyDescent="0.25">
      <c r="A6" s="30">
        <v>0.117831</v>
      </c>
      <c r="B6" s="31">
        <v>7.334168100707168</v>
      </c>
      <c r="C6" s="31">
        <v>7.351680698728351</v>
      </c>
      <c r="D6" s="31">
        <v>7.3691932967495335</v>
      </c>
      <c r="E6" s="31">
        <v>7.386705894770715</v>
      </c>
      <c r="F6" s="31">
        <v>7.404218492791898</v>
      </c>
    </row>
    <row r="7" spans="1:6" x14ac:dyDescent="0.25">
      <c r="A7" s="30">
        <v>0.127831</v>
      </c>
      <c r="B7" s="31">
        <v>6.900647829669814</v>
      </c>
      <c r="C7" s="31">
        <v>6.916156283605277</v>
      </c>
      <c r="D7" s="32">
        <v>6.931664737540739</v>
      </c>
      <c r="E7" s="31">
        <v>6.947173191476202</v>
      </c>
      <c r="F7" s="31">
        <v>6.962681645411667</v>
      </c>
    </row>
    <row r="8" spans="1:6" x14ac:dyDescent="0.25">
      <c r="A8" s="30">
        <v>0.137831</v>
      </c>
      <c r="B8" s="31">
        <v>6.5328909131999335</v>
      </c>
      <c r="C8" s="31">
        <v>6.546714030057793</v>
      </c>
      <c r="D8" s="31">
        <v>6.560537146915653</v>
      </c>
      <c r="E8" s="31">
        <v>6.574360263773512</v>
      </c>
      <c r="F8" s="31">
        <v>6.588183380631372</v>
      </c>
    </row>
    <row r="9" spans="1:6" x14ac:dyDescent="0.25">
      <c r="A9" s="30">
        <v>0.147831</v>
      </c>
      <c r="B9" s="31">
        <v>6.217416489986208</v>
      </c>
      <c r="C9" s="31">
        <v>6.229806924204954</v>
      </c>
      <c r="D9" s="31">
        <v>6.2421973584237005</v>
      </c>
      <c r="E9" s="31">
        <v>6.254587792642447</v>
      </c>
      <c r="F9" s="31">
        <v>6.266978226861192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4475446000</v>
      </c>
      <c r="C5" s="18">
        <v>2865507000</v>
      </c>
      <c r="D5" s="18">
        <v>2225012000</v>
      </c>
      <c r="E5" s="18">
        <v>1905871000</v>
      </c>
      <c r="F5" s="8" t="s">
        <v>84</v>
      </c>
    </row>
    <row r="6" spans="1:6" x14ac:dyDescent="0.25">
      <c r="A6" t="s">
        <v>44</v>
      </c>
      <c r="B6" s="18">
        <v>1414015000</v>
      </c>
      <c r="C6" s="18">
        <v>310403000</v>
      </c>
      <c r="D6" s="18">
        <v>119966000</v>
      </c>
      <c r="E6" s="18">
        <v>-161201000</v>
      </c>
      <c r="F6" s="8" t="s">
        <v>85</v>
      </c>
    </row>
    <row r="7" spans="1:6" x14ac:dyDescent="0.25">
      <c r="A7" t="s">
        <v>86</v>
      </c>
      <c r="B7" s="18">
        <v>26145000</v>
      </c>
      <c r="C7" s="18">
        <v>31587000</v>
      </c>
      <c r="D7" s="18">
        <v>33354000</v>
      </c>
      <c r="E7" s="18">
        <v>22522000</v>
      </c>
      <c r="F7" s="8" t="s">
        <v>87</v>
      </c>
    </row>
    <row r="8" spans="1:6" x14ac:dyDescent="0.25">
      <c r="A8" t="s">
        <v>88</v>
      </c>
      <c r="B8" s="18">
        <v>33882000</v>
      </c>
      <c r="C8" s="18">
        <v>12634000</v>
      </c>
      <c r="D8" s="18">
        <v>15114000</v>
      </c>
      <c r="E8" s="18">
        <v>40027000</v>
      </c>
      <c r="F8" s="8" t="s">
        <v>89</v>
      </c>
    </row>
    <row r="9" spans="1:6" x14ac:dyDescent="0.25">
      <c r="A9" t="s">
        <v>90</v>
      </c>
      <c r="B9" s="18">
        <v>209963000</v>
      </c>
      <c r="C9" s="18">
        <v>70097000</v>
      </c>
      <c r="D9" s="18">
        <v>-6236000</v>
      </c>
      <c r="E9" s="18">
        <v>261217000</v>
      </c>
      <c r="F9" s="8" t="s">
        <v>91</v>
      </c>
    </row>
    <row r="10" spans="1:6" x14ac:dyDescent="0.25">
      <c r="A10" t="s">
        <v>92</v>
      </c>
      <c r="B10" s="18">
        <v>229338000</v>
      </c>
      <c r="C10" s="18">
        <v>239219000</v>
      </c>
      <c r="D10" s="18">
        <v>229392000</v>
      </c>
      <c r="E10" s="18">
        <v>249404000</v>
      </c>
      <c r="F10" s="8" t="s">
        <v>93</v>
      </c>
    </row>
    <row r="11" spans="1:6" x14ac:dyDescent="0.25">
      <c r="A11" t="s">
        <v>94</v>
      </c>
      <c r="B11" s="18">
        <v>7177043000</v>
      </c>
      <c r="C11" s="18">
        <v>5229987000</v>
      </c>
      <c r="D11" s="18">
        <v>3674179000</v>
      </c>
      <c r="E11" s="18">
        <v>2633675000</v>
      </c>
      <c r="F11" s="8" t="s">
        <v>95</v>
      </c>
    </row>
    <row r="12" spans="1:6" x14ac:dyDescent="0.25">
      <c r="A12" t="s">
        <v>32</v>
      </c>
      <c r="B12" s="34">
        <v>2565197000</v>
      </c>
      <c r="C12" s="34">
        <v>2447246030</v>
      </c>
      <c r="D12" s="34">
        <v>2294577862</v>
      </c>
      <c r="E12" s="34">
        <v>2060785103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86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2026-09-19T00:06:33Z</dcterms:modified>
</cp:coreProperties>
</file>