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<sst xmlns="http://schemas.openxmlformats.org/spreadsheetml/2006/main" count="111" uniqueCount="99">
  <si>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Philip Morris International Inc. (PM)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</si>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</sst>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0.08570152245500418</v>
      </c>
    </row>
    <row r="7" spans="1:2" x14ac:dyDescent="0.25">
      <c r="A7" t="s">
        <v>5</v>
      </c>
      <c r="B7" s="6">
        <v>0.3635482271619098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0.042483999681813316</v>
      </c>
    </row>
    <row r="10" spans="1:2" x14ac:dyDescent="0.25">
      <c r="A10" t="s">
        <v>8</v>
      </c>
      <c r="B10" s="6">
        <v>0.03704666788208199</v>
      </c>
    </row>
    <row r="11" spans="1:2" x14ac:dyDescent="0.25">
      <c r="A11" t="s">
        <v>9</v>
      </c>
      <c r="B11" s="6">
        <v>0.3810082063305979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19.96270592710733</v>
      </c>
    </row>
    <row r="14" spans="1:3" x14ac:dyDescent="0.25">
      <c r="A14" t="s">
        <v>12</v>
      </c>
      <c r="B14" s="6">
        <v>0.29344209331444276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0.59465</v>
      </c>
      <c r="C19" s="8" t="s">
        <v>19</v>
      </c>
    </row>
    <row r="20" spans="1:2" x14ac:dyDescent="0.25">
      <c r="A20" t="s">
        <v>20</v>
      </c>
      <c r="B20" s="10">
        <f>B17+B19*B18</f>
        <v>0.08268575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293985648640</v>
      </c>
    </row>
    <row r="23" spans="1:2" x14ac:dyDescent="0.25">
      <c r="A23" t="s">
        <v>24</v>
      </c>
      <c r="B23" s="11">
        <v>48835000000</v>
      </c>
    </row>
    <row r="24" spans="1:2" x14ac:dyDescent="0.25">
      <c r="A24" t="s">
        <v>25</v>
      </c>
      <c r="B24" s="10">
        <f>B22/(B22+B23)</f>
        <v>0.8575494206847435</v>
      </c>
    </row>
    <row r="25" spans="1:2" x14ac:dyDescent="0.25">
      <c r="A25" t="s">
        <v>26</v>
      </c>
      <c r="B25" s="10">
        <f>1-B24</f>
        <v>0.1424505793152565</v>
      </c>
    </row>
    <row r="26" spans="1:2" x14ac:dyDescent="0.25">
      <c r="A26" t="s">
        <v>27</v>
      </c>
      <c r="B26" s="12">
        <f>B24*B20+B25*B21*(1-B8)</f>
        <v>0.07653166417518298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40648000000</v>
      </c>
      <c r="C29" s="8" t="s">
        <v>30</v>
      </c>
    </row>
    <row r="30" spans="1:2" x14ac:dyDescent="0.25">
      <c r="A30" t="s">
        <v>31</v>
      </c>
      <c r="B30" s="11">
        <v>43963000000</v>
      </c>
    </row>
    <row r="31" spans="1:2" x14ac:dyDescent="0.25">
      <c r="A31" t="s">
        <v>32</v>
      </c>
      <c r="B31" s="13">
        <v>1558000000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0.08570152245500418</v>
      </c>
      <c r="C5" s="10">
        <f>Assumptions!B6</f>
        <v>0.08570152245500418</v>
      </c>
      <c r="D5" s="10">
        <f>Assumptions!B6</f>
        <v>0.08570152245500418</v>
      </c>
      <c r="E5" s="10">
        <f>Assumptions!B6</f>
        <v>0.08570152245500418</v>
      </c>
      <c r="F5" s="10">
        <f>Assumptions!B6</f>
        <v>0.08570152245500418</v>
      </c>
    </row>
    <row r="6" spans="1:6" x14ac:dyDescent="0.25">
      <c r="A6" t="s">
        <v>43</v>
      </c>
      <c r="B6" s="18">
        <f>Assumptions!B29*(1+B5)</f>
        <v>44131595484.75101</v>
      </c>
      <c r="C6" s="18">
        <f>B6*(1+C5)</f>
        <v>47913740406.16256</v>
      </c>
      <c r="D6" s="18">
        <f>C6*(1+D5)</f>
        <v>52020020905.48454</v>
      </c>
      <c r="E6" s="18">
        <f>D6*(1+E5)</f>
        <v>56478215895.225716</v>
      </c>
      <c r="F6" s="18">
        <f>E6*(1+F5)</f>
        <v>61318484982.988976</v>
      </c>
    </row>
    <row r="7" spans="1:6" x14ac:dyDescent="0.25">
      <c r="A7" t="s">
        <v>5</v>
      </c>
      <c r="B7" s="10">
        <f>Assumptions!B7</f>
        <v>0.3635482271619098</v>
      </c>
      <c r="C7" s="10">
        <f>Assumptions!B7</f>
        <v>0.3635482271619098</v>
      </c>
      <c r="D7" s="10">
        <f>Assumptions!B7</f>
        <v>0.3635482271619098</v>
      </c>
      <c r="E7" s="10">
        <f>Assumptions!B7</f>
        <v>0.3635482271619098</v>
      </c>
      <c r="F7" s="10">
        <f>Assumptions!B7</f>
        <v>0.3635482271619098</v>
      </c>
    </row>
    <row r="8" spans="1:6" x14ac:dyDescent="0.25">
      <c r="A8" t="s">
        <v>44</v>
      </c>
      <c r="B8" s="18">
        <f>B6*B7</f>
        <v>16043963300.307774</v>
      </c>
      <c r="C8" s="18">
        <f>C6*C7</f>
        <v>17418955381.356365</v>
      </c>
      <c r="D8" s="18">
        <f>D6*D7</f>
        <v>18911786377.11439</v>
      </c>
      <c r="E8" s="18">
        <f>E6*E7</f>
        <v>20532555261.976906</v>
      </c>
      <c r="F8" s="18">
        <f>F6*F7</f>
        <v>22292226507.81983</v>
      </c>
    </row>
    <row r="9" spans="1:6" x14ac:dyDescent="0.25">
      <c r="A9" t="s">
        <v>45</v>
      </c>
      <c r="B9" s="18">
        <f>B8*(1-Assumptions!B8)</f>
        <v>12674731007.243141</v>
      </c>
      <c r="C9" s="18">
        <f>C8*(1-Assumptions!B8)</f>
        <v>13760974751.271528</v>
      </c>
      <c r="D9" s="18">
        <f>D8*(1-Assumptions!B8)</f>
        <v>14940311237.92037</v>
      </c>
      <c r="E9" s="18">
        <f>E8*(1-Assumptions!B8)</f>
        <v>16220718656.961756</v>
      </c>
      <c r="F9" s="18">
        <f>F8*(1-Assumptions!B8)</f>
        <v>17610858941.17767</v>
      </c>
    </row>
    <row r="10" spans="1:6" x14ac:dyDescent="0.25">
      <c r="A10" t="s">
        <v>46</v>
      </c>
      <c r="B10" s="18">
        <f>B6*Assumptions!B9</f>
        <v>1874886688.5320756</v>
      </c>
      <c r="C10" s="18">
        <f>C6*Assumptions!B9</f>
        <v>2035567332.169896</v>
      </c>
      <c r="D10" s="18">
        <f>D6*Assumptions!B9</f>
        <v>2210018551.5965276</v>
      </c>
      <c r="E10" s="18">
        <f>E6*Assumptions!B9</f>
        <v>2399420506.1221533</v>
      </c>
      <c r="F10" s="18">
        <f>F6*Assumptions!B9</f>
        <v>2605054496.506578</v>
      </c>
    </row>
    <row r="11" spans="1:6" x14ac:dyDescent="0.25">
      <c r="A11" t="s">
        <v>47</v>
      </c>
      <c r="B11" s="18">
        <f>-B6*Assumptions!B10</f>
        <v>-1634928561.0299597</v>
      </c>
      <c r="C11" s="18">
        <f>-C6*Assumptions!B10</f>
        <v>-1775044427.8153965</v>
      </c>
      <c r="D11" s="18">
        <f>-D6*Assumptions!B10</f>
        <v>-1927168437.7044477</v>
      </c>
      <c r="E11" s="18">
        <f>-E6*Assumptions!B10</f>
        <v>-2092329706.842951</v>
      </c>
      <c r="F11" s="18">
        <f>-F6*Assumptions!B10</f>
        <v>-2271645548.1972246</v>
      </c>
    </row>
    <row r="12" spans="1:6" x14ac:dyDescent="0.25">
      <c r="A12" t="s">
        <v>48</v>
      </c>
      <c r="B12" s="18">
        <f>-(B6-Assumptions!B29)*Assumptions!B11</f>
        <v>-1327278467.226351</v>
      </c>
      <c r="C12" s="18">
        <f>-(C6-B6)*Assumptions!B11</f>
        <v>-1441028252.5893958</v>
      </c>
      <c r="D12" s="18">
        <f>-(D6-C6)*Assumptions!B11</f>
        <v>-1564526567.7369807</v>
      </c>
      <c r="E12" s="18">
        <f>-(E6-D6)*Assumptions!B11</f>
        <v>-1698608876.5133426</v>
      </c>
      <c r="F12" s="18">
        <f>-(F6-E6)*Assumptions!B11</f>
        <v>-1844182243.286119</v>
      </c>
    </row>
    <row r="13" spans="1:6" x14ac:dyDescent="0.25">
      <c r="A13" s="19" t="s">
        <v>49</v>
      </c>
      <c r="B13" s="20">
        <f>B9+B10+B11+B12</f>
        <v>11587410667.518908</v>
      </c>
      <c r="C13" s="20">
        <f>C9+C10+C11+C12</f>
        <v>12580469403.03663</v>
      </c>
      <c r="D13" s="20">
        <f>D9+D10+D11+D12</f>
        <v>13658634784.07547</v>
      </c>
      <c r="E13" s="20">
        <f>E9+E10+E11+E12</f>
        <v>14829200579.727615</v>
      </c>
      <c r="F13" s="20">
        <f>F9+F10+F11+F12</f>
        <v>16100085646.200903</v>
      </c>
    </row>
    <row r="14" spans="1:6" x14ac:dyDescent="0.25">
      <c r="A14" t="s">
        <v>50</v>
      </c>
      <c r="B14" s="21">
        <f>1/(1+Assumptions!$B$26)^(1-0.5*Assumptions!$B$32)</f>
        <v>0.9637992762627209</v>
      </c>
      <c r="C14" s="21">
        <f>1/(1+Assumptions!$B$26)^(2-0.5*Assumptions!$B$32)</f>
        <v>0.8952818652121717</v>
      </c>
      <c r="D14" s="21">
        <f>1/(1+Assumptions!$B$26)^(3-0.5*Assumptions!$B$32)</f>
        <v>0.8316354223525034</v>
      </c>
      <c r="E14" s="21">
        <f>1/(1+Assumptions!$B$26)^(4-0.5*Assumptions!$B$32)</f>
        <v>0.7725136659028844</v>
      </c>
      <c r="F14" s="21">
        <f>1/(1+Assumptions!$B$26)^(5-0.5*Assumptions!$B$32)</f>
        <v>0.7175949315850072</v>
      </c>
    </row>
    <row r="15" spans="1:6" x14ac:dyDescent="0.25">
      <c r="A15" s="19" t="s">
        <v>51</v>
      </c>
      <c r="B15" s="20">
        <f>B13*B14</f>
        <v>11167938015.113655</v>
      </c>
      <c r="C15" s="20">
        <f>C13*C14</f>
        <v>11263066112.39529</v>
      </c>
      <c r="D15" s="20">
        <f>D13*D14</f>
        <v>11359004507.413198</v>
      </c>
      <c r="E15" s="20">
        <f>E13*E14</f>
        <v>11455760102.254559</v>
      </c>
      <c r="F15" s="20">
        <f>F13*F14</f>
        <v>11553339857.798294</v>
      </c>
    </row>
    <row r="17" spans="1:2" x14ac:dyDescent="0.25">
      <c r="A17" s="22" t="s">
        <v>52</v>
      </c>
      <c r="B17" s="23">
        <f>SUM(B15:F15)</f>
        <v>56799108594.97499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16100085646.200903</v>
      </c>
    </row>
    <row r="5" spans="1:2" x14ac:dyDescent="0.25">
      <c r="A5" t="s">
        <v>56</v>
      </c>
      <c r="B5" s="18">
        <f>IF(Assumptions!$B$33=0,B4,B4-Forecast!F11-Forecast!F10-Forecast!F12)</f>
        <v>17610858941.17767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0.08519568449646668</v>
      </c>
    </row>
    <row r="7" spans="1:2" x14ac:dyDescent="0.25">
      <c r="A7" t="s">
        <v>58</v>
      </c>
      <c r="B7" s="18">
        <f>-MAX(Forecast!F9,0)*B6</f>
        <v>-1500369182.064352</v>
      </c>
    </row>
    <row r="8" spans="1:2" x14ac:dyDescent="0.25">
      <c r="A8" t="s">
        <v>59</v>
      </c>
      <c r="B8" s="18">
        <f>IF(OR(Assumptions!$B$33=0,Assumptions!B12&lt;=0),B5,MAX(B5+B7,0))</f>
        <v>16110489759.113317</v>
      </c>
    </row>
    <row r="9" spans="1:2" x14ac:dyDescent="0.25">
      <c r="A9" t="s">
        <v>60</v>
      </c>
      <c r="B9" s="18">
        <f>B8*(1+Assumptions!B12)/(Assumptions!B26-Assumptions!B12)</f>
        <v>320448645845.2807</v>
      </c>
    </row>
    <row r="10" spans="1:2" x14ac:dyDescent="0.25">
      <c r="A10" t="s">
        <v>61</v>
      </c>
      <c r="B10" s="18">
        <f>B9/(1+Assumptions!B26)^(5-0.5*Assumptions!B32)</f>
        <v>229952324091.85242</v>
      </c>
    </row>
    <row r="11" spans="1:2" x14ac:dyDescent="0.25">
      <c r="A11" t="s">
        <v>62</v>
      </c>
      <c r="B11" s="18">
        <f>Forecast!B17+B10</f>
        <v>286751432686.8274</v>
      </c>
    </row>
    <row r="12" spans="1:2" x14ac:dyDescent="0.25">
      <c r="A12" t="s">
        <v>63</v>
      </c>
      <c r="B12" s="18">
        <f>-Assumptions!B30</f>
        <v>-43963000000</v>
      </c>
    </row>
    <row r="13" spans="1:2" x14ac:dyDescent="0.25">
      <c r="A13" t="s">
        <v>64</v>
      </c>
      <c r="B13" s="18">
        <f>B11+B12</f>
        <v>242788432686.8274</v>
      </c>
    </row>
    <row r="14" spans="1:2" x14ac:dyDescent="0.25">
      <c r="A14" s="19" t="s">
        <v>65</v>
      </c>
      <c r="B14" s="24">
        <f>B13/Assumptions!B31</f>
        <v>155.83339710322682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24897281004.32641</v>
      </c>
    </row>
    <row r="18" spans="1:2" x14ac:dyDescent="0.25">
      <c r="A18" t="s">
        <v>60</v>
      </c>
      <c r="B18" s="18">
        <f>B17*Assumptions!B13</f>
        <v>497017099073.9235</v>
      </c>
    </row>
    <row r="19" spans="1:2" x14ac:dyDescent="0.25">
      <c r="A19" t="s">
        <v>61</v>
      </c>
      <c r="B19" s="18">
        <f>B18/(1+Assumptions!B26)^(5-0.5*Assumptions!B32)</f>
        <v>356656951206.5309</v>
      </c>
    </row>
    <row r="20" spans="1:2" x14ac:dyDescent="0.25">
      <c r="A20" t="s">
        <v>62</v>
      </c>
      <c r="B20" s="18">
        <f>Forecast!B17+B19</f>
        <v>413456059801.50586</v>
      </c>
    </row>
    <row r="21" spans="1:2" x14ac:dyDescent="0.25">
      <c r="A21" t="s">
        <v>63</v>
      </c>
      <c r="B21" s="18">
        <f>-Assumptions!B30</f>
        <v>-43963000000</v>
      </c>
    </row>
    <row r="22" spans="1:2" x14ac:dyDescent="0.25">
      <c r="A22" t="s">
        <v>64</v>
      </c>
      <c r="B22" s="18">
        <f>B20+B21</f>
        <v>369493059801.50586</v>
      </c>
    </row>
    <row r="23" spans="1:2" x14ac:dyDescent="0.25">
      <c r="A23" s="19" t="s">
        <v>65</v>
      </c>
      <c r="B23" s="25">
        <f>B22/Assumptions!B31</f>
        <v>237.15857496887412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188.62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155.83339710322682</v>
      </c>
    </row>
    <row r="29" spans="1:2" x14ac:dyDescent="0.25">
      <c r="A29" s="19" t="s">
        <v>73</v>
      </c>
      <c r="B29" s="12">
        <f>B28/B26-1</f>
        <v>-0.17382357595574804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0.056532</v>
      </c>
      <c r="B5" s="31">
        <v>214.6760702159986</v>
      </c>
      <c r="C5" s="31">
        <v>239.63484388114418</v>
      </c>
      <c r="D5" s="31">
        <v>272.46130565152583</v>
      </c>
      <c r="E5" s="31">
        <v>317.6034926739304</v>
      </c>
      <c r="F5" s="31">
        <v>383.6410017707777</v>
      </c>
    </row>
    <row r="6" spans="1:6" x14ac:dyDescent="0.25">
      <c r="A6" s="30">
        <v>0.066532</v>
      </c>
      <c r="B6" s="31">
        <v>167.20862403320558</v>
      </c>
      <c r="C6" s="31">
        <v>181.89988649119786</v>
      </c>
      <c r="D6" s="31">
        <v>200.09377934614838</v>
      </c>
      <c r="E6" s="31">
        <v>223.22847888061446</v>
      </c>
      <c r="F6" s="31">
        <v>253.65436249510125</v>
      </c>
    </row>
    <row r="7" spans="1:6" x14ac:dyDescent="0.25">
      <c r="A7" s="30">
        <v>0.076532</v>
      </c>
      <c r="B7" s="31">
        <v>135.19951420614078</v>
      </c>
      <c r="C7" s="31">
        <v>144.61564697615614</v>
      </c>
      <c r="D7" s="32">
        <v>155.83219944299586</v>
      </c>
      <c r="E7" s="31">
        <v>169.4295527519442</v>
      </c>
      <c r="F7" s="31">
        <v>186.2675742975795</v>
      </c>
    </row>
    <row r="8" spans="1:6" x14ac:dyDescent="0.25">
      <c r="A8" s="30">
        <v>0.086532</v>
      </c>
      <c r="B8" s="31">
        <v>112.16428524558926</v>
      </c>
      <c r="C8" s="31">
        <v>118.55957663650265</v>
      </c>
      <c r="D8" s="31">
        <v>125.97266592800143</v>
      </c>
      <c r="E8" s="31">
        <v>134.67361199839854</v>
      </c>
      <c r="F8" s="31">
        <v>145.03728583433275</v>
      </c>
    </row>
    <row r="9" spans="1:6" x14ac:dyDescent="0.25">
      <c r="A9" s="30">
        <v>0.096532</v>
      </c>
      <c r="B9" s="31">
        <v>94.7998582454255</v>
      </c>
      <c r="C9" s="31">
        <v>99.32941420785225</v>
      </c>
      <c r="D9" s="31">
        <v>104.47440566930547</v>
      </c>
      <c r="E9" s="31">
        <v>110.37358589866936</v>
      </c>
      <c r="F9" s="31">
        <v>117.21080771266782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40648000000</v>
      </c>
      <c r="C5" s="18">
        <v>37878000000</v>
      </c>
      <c r="D5" s="18">
        <v>35174000000</v>
      </c>
      <c r="E5" s="18">
        <v>31762000000</v>
      </c>
      <c r="F5" s="8" t="s">
        <v>84</v>
      </c>
    </row>
    <row r="6" spans="1:6" x14ac:dyDescent="0.25">
      <c r="A6" t="s">
        <v>44</v>
      </c>
      <c r="B6" s="18">
        <v>14933000000</v>
      </c>
      <c r="C6" s="18">
        <v>13402000000</v>
      </c>
      <c r="D6" s="18">
        <v>12221000000</v>
      </c>
      <c r="E6" s="18">
        <v>12246000000</v>
      </c>
      <c r="F6" s="8" t="s">
        <v>85</v>
      </c>
    </row>
    <row r="7" spans="1:6" x14ac:dyDescent="0.25">
      <c r="A7" t="s">
        <v>86</v>
      </c>
      <c r="B7" s="18">
        <v>1996000000</v>
      </c>
      <c r="C7" s="18">
        <v>1787000000</v>
      </c>
      <c r="D7" s="18">
        <v>1398000000</v>
      </c>
      <c r="E7" s="18">
        <v>1077000000</v>
      </c>
      <c r="F7" s="8" t="s">
        <v>87</v>
      </c>
    </row>
    <row r="8" spans="1:6" x14ac:dyDescent="0.25">
      <c r="A8" t="s">
        <v>88</v>
      </c>
      <c r="B8" s="18">
        <v>1569000000</v>
      </c>
      <c r="C8" s="18">
        <v>1444000000</v>
      </c>
      <c r="D8" s="18">
        <v>1321000000</v>
      </c>
      <c r="E8" s="18">
        <v>1077000000</v>
      </c>
      <c r="F8" s="8" t="s">
        <v>89</v>
      </c>
    </row>
    <row r="9" spans="1:6" x14ac:dyDescent="0.25">
      <c r="A9" t="s">
        <v>90</v>
      </c>
      <c r="B9" s="18">
        <v>1808000000</v>
      </c>
      <c r="C9" s="18">
        <v>-677000000</v>
      </c>
      <c r="D9" s="18">
        <v>1300000000</v>
      </c>
      <c r="E9" s="18">
        <v>-162000000</v>
      </c>
      <c r="F9" s="8" t="s">
        <v>91</v>
      </c>
    </row>
    <row r="10" spans="1:6" x14ac:dyDescent="0.25">
      <c r="A10" t="s">
        <v>92</v>
      </c>
      <c r="B10" s="18">
        <v>48835000000</v>
      </c>
      <c r="C10" s="18">
        <v>45695000000</v>
      </c>
      <c r="D10" s="18">
        <v>47909000000</v>
      </c>
      <c r="E10" s="18">
        <v>43123000000</v>
      </c>
      <c r="F10" s="8" t="s">
        <v>93</v>
      </c>
    </row>
    <row r="11" spans="1:6" x14ac:dyDescent="0.25">
      <c r="A11" t="s">
        <v>94</v>
      </c>
      <c r="B11" s="18">
        <v>4872000000</v>
      </c>
      <c r="C11" s="18">
        <v>4216000000</v>
      </c>
      <c r="D11" s="18">
        <v>3060000000</v>
      </c>
      <c r="E11" s="18">
        <v>3207000000</v>
      </c>
      <c r="F11" s="8" t="s">
        <v>95</v>
      </c>
    </row>
    <row r="12" spans="1:6" x14ac:dyDescent="0.25">
      <c r="A12" t="s">
        <v>32</v>
      </c>
      <c r="B12" s="34">
        <v>1558000000</v>
      </c>
      <c r="C12" s="34">
        <v>1556000000</v>
      </c>
      <c r="D12" s="34">
        <v>1553000000</v>
      </c>
      <c r="E12" s="34">
        <v>1552000000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