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<sst xmlns="http://schemas.openxmlformats.org/spreadsheetml/2006/main" count="120" uniqueCount="107">
  <si>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Philip Morris International Inc. (PM)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</si>
  <si>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</si>
  <si>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</si>
  <si>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</si>
  <si>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</si>
  <si>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</si>
  <si>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</si>
  <si>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</si>
  <si>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</si>
  <si>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</si>
  <si>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</si>
  <si>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</si>
  <si>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</si>
  <si>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</si>
  <si>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</si>
  <si>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</si>
  <si>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</si>
  <si>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</si>
  <si>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</si>
  <si>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</si>
  <si>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</si>
  <si>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</si>
  <si>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</si>
  <si>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</si>
  <si>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9.4x interest cover. Book interest / average debt was lower, at 3.4%.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</si>
  <si>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</si>
  <si>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</si>
  <si>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</si>
  <si>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</si>
  <si>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</si>
  <si>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</si>
  <si>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</si>
  <si>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</si>
  <si>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</si>
  <si>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</si>
  <si>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</si>
  <si>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</si>
  <si>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</si>
  <si>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</si>
  <si>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</si>
  <si>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</si>
  <si>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</si>
  <si>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</si>
  <si>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</si>
  <si>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</si>
  <si>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</si>
  <si>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</si>
  <si>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</si>
  <si>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</si>
  <si>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</si>
  <si>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</si>
  <si>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</si>
  <si>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</si>
  <si>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</si>
  <si>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</si>
  <si>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</si>
  <si>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</si>
  <si>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</si>
  <si>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</si>
  <si>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</si>
  <si>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</si>
  <si>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</si>
  <si>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</si>
  <si>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</si>
  <si>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</si>
  <si>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</si>
  <si>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</si>
  <si>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</si>
  <si>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</si>
  <si>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</si>
  <si>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</si>
  <si>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</si>
  <si>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</si>
  <si>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</si>
  <si>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</si>
  <si>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</si>
  <si>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</si>
  <si>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</si>
  <si>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</si>
  <si>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</si>
  <si>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</si>
  <si>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</si>
  <si>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</si>
  <si>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</si>
  <si>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</si>
  <si>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</si>
  <si>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</si>
  <si>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</si>
  <si>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</si>
  <si>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</si>
  <si>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</si>
  <si>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</si>
  <si>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</si>
  <si>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</si>
  <si>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</si>
  <si>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</si>
  <si>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</si>
  <si>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</si>
  <si>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</si>
  <si>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</si>
  <si>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</si>
  <si>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</si>
  <si>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</si>
  <si>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</si>
  <si>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</si>
  <si>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21.8x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</si>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</sst>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0.07209082291871671</v>
      </c>
    </row>
    <row r="7" spans="1:2" x14ac:dyDescent="0.25">
      <c r="A7" t="s">
        <v>4</v>
      </c>
      <c r="B7" s="5">
        <v>0.3635482271619098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0.042483999681813316</v>
      </c>
    </row>
    <row r="10" spans="1:3" x14ac:dyDescent="0.25">
      <c r="A10" t="s">
        <v>7</v>
      </c>
      <c r="B10" s="5">
        <v>0.03704666788208199</v>
      </c>
      <c r="C10" s="6" t="s">
        <v>8</v>
      </c>
    </row>
    <row r="11" spans="1:2" x14ac:dyDescent="0.25">
      <c r="A11" t="s">
        <v>9</v>
      </c>
      <c r="B11" s="5">
        <v>0.28667561466599645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0.29344209331444276</v>
      </c>
      <c r="C14" s="6" t="s">
        <v>13</v>
      </c>
    </row>
    <row r="15" spans="1:3" x14ac:dyDescent="0.25">
      <c r="A15" t="s">
        <v>14</v>
      </c>
      <c r="B15" s="5">
        <v>0.042483999681813316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0.5711999999999999</v>
      </c>
      <c r="C19" s="6" t="s">
        <v>21</v>
      </c>
    </row>
    <row r="20" spans="1:2" x14ac:dyDescent="0.25">
      <c r="A20" t="s">
        <v>22</v>
      </c>
      <c r="B20" s="9">
        <f>B17+B19*B18</f>
        <v>0.07310176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325422874624</v>
      </c>
    </row>
    <row r="23" spans="1:2" x14ac:dyDescent="0.25">
      <c r="A23" t="s">
        <v>26</v>
      </c>
      <c r="B23" s="10">
        <v>48835000000</v>
      </c>
    </row>
    <row r="24" spans="1:2" x14ac:dyDescent="0.25">
      <c r="A24" t="s">
        <v>27</v>
      </c>
      <c r="B24" s="9">
        <f>B22/(B22+B23)</f>
        <v>0.86951510359251</v>
      </c>
    </row>
    <row r="25" spans="1:2" x14ac:dyDescent="0.25">
      <c r="A25" t="s">
        <v>28</v>
      </c>
      <c r="B25" s="9">
        <f>1-B24</f>
        <v>0.13048489640748995</v>
      </c>
    </row>
    <row r="26" spans="1:2" x14ac:dyDescent="0.25">
      <c r="A26" t="s">
        <v>29</v>
      </c>
      <c r="B26" s="11">
        <f>B24*B20+B25*B21*(1-B8)</f>
        <v>0.0690203020476867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40648000000</v>
      </c>
      <c r="C29" s="6" t="s">
        <v>32</v>
      </c>
    </row>
    <row r="30" spans="1:2" x14ac:dyDescent="0.25">
      <c r="A30" t="s">
        <v>33</v>
      </c>
      <c r="B30" s="10">
        <v>43963000000</v>
      </c>
    </row>
    <row r="31" spans="1:2" x14ac:dyDescent="0.25">
      <c r="A31" t="s">
        <v>34</v>
      </c>
      <c r="B31" s="12">
        <v>1558000000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0.07209082291871671</v>
      </c>
      <c r="C5" s="5">
        <v>0.04761593328300706</v>
      </c>
      <c r="D5" s="5">
        <v>0.04478894162263118</v>
      </c>
      <c r="E5" s="5">
        <v>0.041961949962255295</v>
      </c>
      <c r="F5" s="5">
        <v>0.039134958301879415</v>
      </c>
      <c r="G5" s="5">
        <v>0.03630796664150353</v>
      </c>
      <c r="H5" s="5">
        <v>0.03348097498112765</v>
      </c>
      <c r="I5" s="5">
        <v>0.030653983320751768</v>
      </c>
      <c r="J5" s="5">
        <v>0.027826991660375885</v>
      </c>
      <c r="K5" s="5">
        <v>0.025</v>
      </c>
    </row>
    <row r="6" spans="1:11" x14ac:dyDescent="0.25">
      <c r="A6" t="s">
        <v>50</v>
      </c>
      <c r="B6" s="18">
        <f>Assumptions!B29*(1+B5)</f>
        <v>43578347770</v>
      </c>
      <c r="C6" s="18">
        <f>B6*(1+C5)</f>
        <v>45653371470</v>
      </c>
      <c r="D6" s="18">
        <f>C6*(1+D5)</f>
        <v>47698137659.646126</v>
      </c>
      <c r="E6" s="18">
        <f>D6*(1+E5)</f>
        <v>49699644525.41296</v>
      </c>
      <c r="F6" s="18">
        <f>E6*(1+F5)</f>
        <v>51644638041.53322</v>
      </c>
      <c r="G6" s="18">
        <f>F6*(1+G5)</f>
        <v>53519749836.75774</v>
      </c>
      <c r="H6" s="18">
        <f>G6*(1+H5)</f>
        <v>55311643242.03843</v>
      </c>
      <c r="I6" s="18">
        <f>H6*(1+I5)</f>
        <v>57007165431.42325</v>
      </c>
      <c r="J6" s="18">
        <f>I6*(1+J5)</f>
        <v>58593503348.46513</v>
      </c>
      <c r="K6" s="18">
        <f>J6*(1+K5)</f>
        <v>60058340932.17676</v>
      </c>
    </row>
    <row r="7" spans="1:11" x14ac:dyDescent="0.25">
      <c r="A7" t="s">
        <v>4</v>
      </c>
      <c r="B7" s="9">
        <f>Assumptions!B7</f>
        <v>0.3635482271619098</v>
      </c>
      <c r="C7" s="9">
        <f>Assumptions!B7</f>
        <v>0.3635482271619098</v>
      </c>
      <c r="D7" s="9">
        <f>Assumptions!B7</f>
        <v>0.3635482271619098</v>
      </c>
      <c r="E7" s="9">
        <f>Assumptions!B7</f>
        <v>0.3635482271619098</v>
      </c>
      <c r="F7" s="9">
        <f>Assumptions!B7</f>
        <v>0.3635482271619098</v>
      </c>
      <c r="G7" s="9">
        <f>Assumptions!B7</f>
        <v>0.3635482271619098</v>
      </c>
      <c r="H7" s="9">
        <f>Assumptions!B7</f>
        <v>0.3635482271619098</v>
      </c>
      <c r="I7" s="9">
        <f>Assumptions!B7</f>
        <v>0.3635482271619098</v>
      </c>
      <c r="J7" s="9">
        <f>Assumptions!B7</f>
        <v>0.3635482271619098</v>
      </c>
      <c r="K7" s="9">
        <f>Assumptions!B7</f>
        <v>0.3635482271619098</v>
      </c>
    </row>
    <row r="8" spans="1:11" x14ac:dyDescent="0.25">
      <c r="A8" t="s">
        <v>51</v>
      </c>
      <c r="B8" s="18">
        <f>B6*B7</f>
        <v>15842831074.428667</v>
      </c>
      <c r="C8" s="18">
        <f>C6*C7</f>
        <v>16597202261.882612</v>
      </c>
      <c r="D8" s="18">
        <f>D6*D7</f>
        <v>17340573385.089077</v>
      </c>
      <c r="E8" s="18">
        <f>E6*E7</f>
        <v>18068217657.790997</v>
      </c>
      <c r="F8" s="18">
        <f>F6*F7</f>
        <v>18775316602.417927</v>
      </c>
      <c r="G8" s="18">
        <f>G6*G7</f>
        <v>19457010171.30219</v>
      </c>
      <c r="H8" s="18">
        <f>H6*H7</f>
        <v>20108449842.0551</v>
      </c>
      <c r="I8" s="18">
        <f>I6*I7</f>
        <v>20724853928.119633</v>
      </c>
      <c r="J8" s="18">
        <f>J6*J7</f>
        <v>21301564265.539925</v>
      </c>
      <c r="K8" s="18">
        <f>K6*K7</f>
        <v>21834103372.17842</v>
      </c>
    </row>
    <row r="9" spans="1:11" x14ac:dyDescent="0.25">
      <c r="A9" t="s">
        <v>52</v>
      </c>
      <c r="B9" s="18">
        <f>B8*(1-Assumptions!B8)</f>
        <v>12515836548.798647</v>
      </c>
      <c r="C9" s="18">
        <f>C8*(1-Assumptions!B8)</f>
        <v>13111789786.887264</v>
      </c>
      <c r="D9" s="18">
        <f>D8*(1-Assumptions!B8)</f>
        <v>13699052974.220371</v>
      </c>
      <c r="E9" s="18">
        <f>E8*(1-Assumptions!B8)</f>
        <v>14273891949.654888</v>
      </c>
      <c r="F9" s="18">
        <f>F8*(1-Assumptions!B8)</f>
        <v>14832500115.910162</v>
      </c>
      <c r="G9" s="18">
        <f>G8*(1-Assumptions!B8)</f>
        <v>15371038035.32873</v>
      </c>
      <c r="H9" s="18">
        <f>H8*(1-Assumptions!B8)</f>
        <v>15885675375.22353</v>
      </c>
      <c r="I9" s="18">
        <f>I8*(1-Assumptions!B8)</f>
        <v>16372634603.21451</v>
      </c>
      <c r="J9" s="18">
        <f>J8*(1-Assumptions!B8)</f>
        <v>16828235769.77654</v>
      </c>
      <c r="K9" s="18">
        <f>K8*(1-Assumptions!B8)</f>
        <v>17248941664.020954</v>
      </c>
    </row>
    <row r="10" spans="1:11" x14ac:dyDescent="0.25">
      <c r="A10" t="s">
        <v>53</v>
      </c>
      <c r="B10" s="18">
        <f>B6*Assumptions!B9</f>
        <v>1851382512.79463</v>
      </c>
      <c r="C10" s="18">
        <f>C6*Assumptions!B9</f>
        <v>1939537819.0051851</v>
      </c>
      <c r="D10" s="18">
        <f>D6*Assumptions!B9</f>
        <v>2026407665.1554937</v>
      </c>
      <c r="E10" s="18">
        <f>E6*Assumptions!B9</f>
        <v>2111439682.2038789</v>
      </c>
      <c r="F10" s="18">
        <f>F6*Assumptions!B9</f>
        <v>2194070786.1238613</v>
      </c>
      <c r="G10" s="18">
        <f>G6*Assumptions!B9</f>
        <v>2273733035.035544</v>
      </c>
      <c r="H10" s="18">
        <f>H6*Assumptions!B9</f>
        <v>2349859833.8953323</v>
      </c>
      <c r="I10" s="18">
        <f>I6*Assumptions!B9</f>
        <v>2421892398.0496645</v>
      </c>
      <c r="J10" s="18">
        <f>J6*Assumptions!B9</f>
        <v>2489286377.61252</v>
      </c>
      <c r="K10" s="18">
        <f>K6*Assumptions!B9</f>
        <v>2551518537.052833</v>
      </c>
    </row>
    <row r="11" spans="1:11" x14ac:dyDescent="0.25">
      <c r="A11" t="s">
        <v>54</v>
      </c>
      <c r="B11" s="18">
        <f>-B6*B19</f>
        <v>-1614432576.6850584</v>
      </c>
      <c r="C11" s="18">
        <f>-C6*C19</f>
        <v>-1843005338.8048983</v>
      </c>
      <c r="D11" s="18">
        <f>-D6*D19</f>
        <v>-2084046130.1989193</v>
      </c>
      <c r="E11" s="18">
        <f>-E6*E19</f>
        <v>-2336642042.154783</v>
      </c>
      <c r="F11" s="18">
        <f>-F6*F19</f>
        <v>-2599694656.916232</v>
      </c>
      <c r="G11" s="18">
        <f>-G6*G19</f>
        <v>-2871923255.4134336</v>
      </c>
      <c r="H11" s="18">
        <f>-H6*H19</f>
        <v>-3151871239.850778</v>
      </c>
      <c r="I11" s="18">
        <f>-I6*I19</f>
        <v>-3437915835.537901</v>
      </c>
      <c r="J11" s="18">
        <f>-J6*J19</f>
        <v>-3728281066.8545237</v>
      </c>
      <c r="K11" s="18">
        <f>-K6*K19</f>
        <v>-4021053928.958721</v>
      </c>
    </row>
    <row r="12" spans="1:11" x14ac:dyDescent="0.25">
      <c r="A12" t="s">
        <v>55</v>
      </c>
      <c r="B12" s="18">
        <f>-(B6-Assumptions!B29)*Assumptions!B11</f>
        <v>-840059248.149882</v>
      </c>
      <c r="C12" s="18">
        <f>-(C6-B6)*Assumptions!B11</f>
        <v>-594858694.6440102</v>
      </c>
      <c r="D12" s="18">
        <f>-(D6-C6)*Assumptions!B11</f>
        <v>-586184604.2650505</v>
      </c>
      <c r="E12" s="18">
        <f>-(E6-D6)*Assumptions!B11</f>
        <v>-573783211.0019182</v>
      </c>
      <c r="F12" s="18">
        <f>-(F6-E6)*Assumptions!B11</f>
        <v>-557582211.7551538</v>
      </c>
      <c r="G12" s="18">
        <f>-(G6-F6)*Assumptions!B11</f>
        <v>-537548826.4634488</v>
      </c>
      <c r="H12" s="18">
        <f>-(H6-G6)*Assumptions!B11</f>
        <v>-513692143.37478817</v>
      </c>
      <c r="I12" s="18">
        <f>-(I6-H6)*Assumptions!B11</f>
        <v>-486064865.821729</v>
      </c>
      <c r="J12" s="18">
        <f>-(J6-I6)*Assumptions!B11</f>
        <v>-454764397.435959</v>
      </c>
      <c r="K12" s="18">
        <f>-(K6-J6)*Assumptions!B11</f>
        <v>-419933214.6963829</v>
      </c>
    </row>
    <row r="13" spans="1:11" x14ac:dyDescent="0.25">
      <c r="A13" s="19" t="s">
        <v>56</v>
      </c>
      <c r="B13" s="20">
        <f>B9+B10+B11+B12</f>
        <v>11912727236.758337</v>
      </c>
      <c r="C13" s="20">
        <f>C9+C10+C11+C12</f>
        <v>12613463572.44354</v>
      </c>
      <c r="D13" s="20">
        <f>D9+D10+D11+D12</f>
        <v>13055229904.911896</v>
      </c>
      <c r="E13" s="20">
        <f>E9+E10+E11+E12</f>
        <v>13474906378.702065</v>
      </c>
      <c r="F13" s="20">
        <f>F9+F10+F11+F12</f>
        <v>13869294033.362637</v>
      </c>
      <c r="G13" s="20">
        <f>G9+G10+G11+G12</f>
        <v>14235298988.48739</v>
      </c>
      <c r="H13" s="20">
        <f>H9+H10+H11+H12</f>
        <v>14569971825.893295</v>
      </c>
      <c r="I13" s="20">
        <f>I9+I10+I11+I12</f>
        <v>14870546299.904545</v>
      </c>
      <c r="J13" s="20">
        <f>J9+J10+J11+J12</f>
        <v>15134476683.09858</v>
      </c>
      <c r="K13" s="20">
        <f>K9+K10+K11+K12</f>
        <v>15359473057.418684</v>
      </c>
    </row>
    <row r="14" spans="1:11" x14ac:dyDescent="0.25">
      <c r="A14" t="s">
        <v>57</v>
      </c>
      <c r="B14" s="21">
        <f>1/(1+Assumptions!$B$26)^(1-0.5*Assumptions!$B$32)</f>
        <v>0.9671793678492203</v>
      </c>
      <c r="C14" s="21">
        <f>1/(1+Assumptions!$B$26)^(2-0.5*Assumptions!$B$32)</f>
        <v>0.9047343310474159</v>
      </c>
      <c r="D14" s="21">
        <f>1/(1+Assumptions!$B$26)^(3-0.5*Assumptions!$B$32)</f>
        <v>0.8463209999982373</v>
      </c>
      <c r="E14" s="21">
        <f>1/(1+Assumptions!$B$26)^(4-0.5*Assumptions!$B$32)</f>
        <v>0.7916790713676126</v>
      </c>
      <c r="F14" s="21">
        <f>1/(1+Assumptions!$B$26)^(5-0.5*Assumptions!$B$32)</f>
        <v>0.7405650480642578</v>
      </c>
      <c r="G14" s="21">
        <f>1/(1+Assumptions!$B$26)^(6-0.5*Assumptions!$B$32)</f>
        <v>0.6927511541602348</v>
      </c>
      <c r="H14" s="21">
        <f>1/(1+Assumptions!$B$26)^(7-0.5*Assumptions!$B$32)</f>
        <v>0.6480243198686536</v>
      </c>
      <c r="I14" s="21">
        <f>1/(1+Assumptions!$B$26)^(8-0.5*Assumptions!$B$32)</f>
        <v>0.6061852320553466</v>
      </c>
      <c r="J14" s="21">
        <f>1/(1+Assumptions!$B$26)^(9-0.5*Assumptions!$B$32)</f>
        <v>0.5670474460533733</v>
      </c>
      <c r="K14" s="21">
        <f>1/(1+Assumptions!$B$26)^(10-0.5*Assumptions!$B$32)</f>
        <v>0.5304365548223972</v>
      </c>
    </row>
    <row r="15" spans="1:11" x14ac:dyDescent="0.25">
      <c r="A15" s="19" t="s">
        <v>58</v>
      </c>
      <c r="B15" s="20">
        <f>B13*B14</f>
        <v>11521743998.208118</v>
      </c>
      <c r="C15" s="20">
        <f>C13*C14</f>
        <v>11411833527.405655</v>
      </c>
      <c r="D15" s="20">
        <f>D13*D14</f>
        <v>11048915228.331928</v>
      </c>
      <c r="E15" s="20">
        <f>E13*E14</f>
        <v>10667801368.65637</v>
      </c>
      <c r="F15" s="20">
        <f>F13*F14</f>
        <v>10271114402.434525</v>
      </c>
      <c r="G15" s="20">
        <f>G13*G14</f>
        <v>9861519804.090662</v>
      </c>
      <c r="H15" s="20">
        <f>H13*H14</f>
        <v>9441696082.979948</v>
      </c>
      <c r="I15" s="20">
        <f>I13*I14</f>
        <v>9014305559.597412</v>
      </c>
      <c r="J15" s="20">
        <f>J13*J14</f>
        <v>8581966350.505378</v>
      </c>
      <c r="K15" s="20">
        <f>K13*K14</f>
        <v>8147225972.464598</v>
      </c>
    </row>
    <row r="17" spans="1:2" x14ac:dyDescent="0.25">
      <c r="A17" s="22" t="s">
        <v>59</v>
      </c>
      <c r="B17" s="23">
        <f>SUM(B15:K15)</f>
        <v>99968122294.67459</v>
      </c>
    </row>
    <row r="19" spans="1:11" x14ac:dyDescent="0.25">
      <c r="A19" t="s">
        <v>7</v>
      </c>
      <c r="B19" s="9">
        <f>Assumptions!$B$10+($B$20-Assumptions!$B$10)*0/9</f>
        <v>0.03704666788208199</v>
      </c>
      <c r="C19" s="9">
        <f>Assumptions!$B$10+($B$20-Assumptions!$B$10)*1/9</f>
        <v>0.04036953415403251</v>
      </c>
      <c r="D19" s="9">
        <f>Assumptions!$B$10+($B$20-Assumptions!$B$10)*2/9</f>
        <v>0.043692400425983026</v>
      </c>
      <c r="E19" s="9">
        <f>Assumptions!$B$10+($B$20-Assumptions!$B$10)*3/9</f>
        <v>0.047015266697933544</v>
      </c>
      <c r="F19" s="9">
        <f>Assumptions!$B$10+($B$20-Assumptions!$B$10)*4/9</f>
        <v>0.05033813296988406</v>
      </c>
      <c r="G19" s="9">
        <f>Assumptions!$B$10+($B$20-Assumptions!$B$10)*5/9</f>
        <v>0.05366099924183458</v>
      </c>
      <c r="H19" s="9">
        <f>Assumptions!$B$10+($B$20-Assumptions!$B$10)*6/9</f>
        <v>0.0569838655137851</v>
      </c>
      <c r="I19" s="9">
        <f>Assumptions!$B$10+($B$20-Assumptions!$B$10)*7/9</f>
        <v>0.06030673178573562</v>
      </c>
      <c r="J19" s="9">
        <f>Assumptions!$B$10+($B$20-Assumptions!$B$10)*8/9</f>
        <v>0.06362959805768614</v>
      </c>
      <c r="K19" s="9">
        <f>Assumptions!$B$10+($B$20-Assumptions!$B$10)*9/9</f>
        <v>0.06695246432963665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0.06695246432963665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15359473057.418684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17248941664.020954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0.08519568449646668</v>
      </c>
    </row>
    <row r="7" spans="1:2" x14ac:dyDescent="0.25">
      <c r="A7" t="s">
        <v>66</v>
      </c>
      <c r="B7" s="18">
        <f>-MAX(B5,0)*B6</f>
        <v>-1469535391.905888</v>
      </c>
    </row>
    <row r="8" spans="1:2" x14ac:dyDescent="0.25">
      <c r="A8" t="s">
        <v>67</v>
      </c>
      <c r="B8" s="18">
        <f>IF(OR(Assumptions!$B$33=0,Assumptions!B12&lt;=0),B5,MAX(B5+B7,0))</f>
        <v>15779406272.115067</v>
      </c>
    </row>
    <row r="9" spans="1:2" x14ac:dyDescent="0.25">
      <c r="A9" t="s">
        <v>68</v>
      </c>
      <c r="B9" s="18">
        <f>B8*(1+Assumptions!B12)/(Assumptions!B26-Assumptions!B12)</f>
        <v>367418910742.524</v>
      </c>
    </row>
    <row r="10" spans="1:2" x14ac:dyDescent="0.25">
      <c r="A10" t="s">
        <v>69</v>
      </c>
      <c r="B10" s="18">
        <f>B9/(1+Assumptions!B26)^(10-0.5*Assumptions!B32)</f>
        <v>194892421190.86227</v>
      </c>
    </row>
    <row r="11" spans="1:2" x14ac:dyDescent="0.25">
      <c r="A11" t="s">
        <v>70</v>
      </c>
      <c r="B11" s="18">
        <f>Forecast!B17+B10</f>
        <v>294860543485.53687</v>
      </c>
    </row>
    <row r="12" spans="1:2" x14ac:dyDescent="0.25">
      <c r="A12" t="s">
        <v>71</v>
      </c>
      <c r="B12" s="18">
        <f>-Assumptions!B30</f>
        <v>-43963000000</v>
      </c>
    </row>
    <row r="13" spans="1:2" x14ac:dyDescent="0.25">
      <c r="A13" t="s">
        <v>72</v>
      </c>
      <c r="B13" s="18">
        <f>B11+B12</f>
        <v>250897543485.53687</v>
      </c>
    </row>
    <row r="14" spans="1:2" x14ac:dyDescent="0.25">
      <c r="A14" s="19" t="s">
        <v>73</v>
      </c>
      <c r="B14" s="24">
        <f>B13/Assumptions!B31</f>
        <v>161.03821789829067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24385621909.231255</v>
      </c>
    </row>
    <row r="18" spans="1:2" x14ac:dyDescent="0.25">
      <c r="A18" t="s">
        <v>68</v>
      </c>
      <c r="B18" s="18">
        <f>B17*Assumptions!B13</f>
        <v>487712438184.6251</v>
      </c>
    </row>
    <row r="19" spans="1:2" x14ac:dyDescent="0.25">
      <c r="A19" t="s">
        <v>69</v>
      </c>
      <c r="B19" s="18">
        <f>B18/(1+Assumptions!B26)^(10-0.5*Assumptions!B32)</f>
        <v>258700505454.6839</v>
      </c>
    </row>
    <row r="20" spans="1:2" x14ac:dyDescent="0.25">
      <c r="A20" t="s">
        <v>70</v>
      </c>
      <c r="B20" s="18">
        <f>Forecast!B17+B19</f>
        <v>358668627749.3585</v>
      </c>
    </row>
    <row r="21" spans="1:2" x14ac:dyDescent="0.25">
      <c r="A21" t="s">
        <v>71</v>
      </c>
      <c r="B21" s="18">
        <f>-Assumptions!B30</f>
        <v>-43963000000</v>
      </c>
    </row>
    <row r="22" spans="1:2" x14ac:dyDescent="0.25">
      <c r="A22" t="s">
        <v>72</v>
      </c>
      <c r="B22" s="18">
        <f>B20+B21</f>
        <v>314705627749.3585</v>
      </c>
    </row>
    <row r="23" spans="1:2" x14ac:dyDescent="0.25">
      <c r="A23" s="19" t="s">
        <v>73</v>
      </c>
      <c r="B23" s="25">
        <f>B22/Assumptions!B31</f>
        <v>201.99334258623782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208.79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161.03821789829067</v>
      </c>
    </row>
    <row r="29" spans="1:2" x14ac:dyDescent="0.25">
      <c r="A29" s="19" t="s">
        <v>81</v>
      </c>
      <c r="B29" s="11">
        <f>B28/B26-1</f>
        <v>-0.22870722784476905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0.04902</v>
      </c>
      <c r="B5" s="31">
        <v>242.15964770236715</v>
      </c>
      <c r="C5" s="31">
        <v>272.7452230857424</v>
      </c>
      <c r="D5" s="31">
        <v>316.27622310481934</v>
      </c>
      <c r="E5" s="31">
        <v>382.9619731820757</v>
      </c>
      <c r="F5" s="31">
        <v>497.57574370786074</v>
      </c>
    </row>
    <row r="6" spans="1:6" x14ac:dyDescent="0.25">
      <c r="A6" s="30">
        <v>0.05902</v>
      </c>
      <c r="B6" s="31">
        <v>180.521197270974</v>
      </c>
      <c r="C6" s="31">
        <v>195.85362810317045</v>
      </c>
      <c r="D6" s="31">
        <v>215.8342518297659</v>
      </c>
      <c r="E6" s="31">
        <v>242.86564920251732</v>
      </c>
      <c r="F6" s="31">
        <v>281.3508845300151</v>
      </c>
    </row>
    <row r="7" spans="1:6" x14ac:dyDescent="0.25">
      <c r="A7" s="30">
        <v>0.06902</v>
      </c>
      <c r="B7" s="31">
        <v>141.7569179811697</v>
      </c>
      <c r="C7" s="31">
        <v>150.36848365846137</v>
      </c>
      <c r="D7" s="32">
        <v>161.03949680144962</v>
      </c>
      <c r="E7" s="31">
        <v>174.56164659479504</v>
      </c>
      <c r="F7" s="31">
        <v>192.19204796369905</v>
      </c>
    </row>
    <row r="8" spans="1:6" x14ac:dyDescent="0.25">
      <c r="A8" s="30">
        <v>0.07902</v>
      </c>
      <c r="B8" s="31">
        <v>115.14390482980542</v>
      </c>
      <c r="C8" s="31">
        <v>120.3230308143093</v>
      </c>
      <c r="D8" s="31">
        <v>126.54038295353318</v>
      </c>
      <c r="E8" s="31">
        <v>134.1136559092641</v>
      </c>
      <c r="F8" s="31">
        <v>143.50488539816726</v>
      </c>
    </row>
    <row r="9" spans="1:6" x14ac:dyDescent="0.25">
      <c r="A9" s="30">
        <v>0.08902</v>
      </c>
      <c r="B9" s="31">
        <v>95.75419042807206</v>
      </c>
      <c r="C9" s="31">
        <v>99.00416809194911</v>
      </c>
      <c r="D9" s="31">
        <v>102.82526388258975</v>
      </c>
      <c r="E9" s="31">
        <v>107.36262812024897</v>
      </c>
      <c r="F9" s="31">
        <v>112.81515059954515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40648000000</v>
      </c>
      <c r="C5" s="18">
        <v>37878000000</v>
      </c>
      <c r="D5" s="18">
        <v>35174000000</v>
      </c>
      <c r="E5" s="18">
        <v>31762000000</v>
      </c>
      <c r="F5" s="6" t="s">
        <v>91</v>
      </c>
    </row>
    <row r="6" spans="1:6" x14ac:dyDescent="0.25">
      <c r="A6" t="s">
        <v>51</v>
      </c>
      <c r="B6" s="18">
        <v>14933000000</v>
      </c>
      <c r="C6" s="18">
        <v>13402000000</v>
      </c>
      <c r="D6" s="18">
        <v>12221000000</v>
      </c>
      <c r="E6" s="18">
        <v>12246000000</v>
      </c>
      <c r="F6" s="6" t="s">
        <v>92</v>
      </c>
    </row>
    <row r="7" spans="1:6" x14ac:dyDescent="0.25">
      <c r="A7" t="s">
        <v>93</v>
      </c>
      <c r="B7" s="18">
        <v>1996000000</v>
      </c>
      <c r="C7" s="18">
        <v>1787000000</v>
      </c>
      <c r="D7" s="18">
        <v>1398000000</v>
      </c>
      <c r="E7" s="18">
        <v>1077000000</v>
      </c>
      <c r="F7" s="6" t="s">
        <v>94</v>
      </c>
    </row>
    <row r="8" spans="1:6" x14ac:dyDescent="0.25">
      <c r="A8" t="s">
        <v>95</v>
      </c>
      <c r="B8" s="18">
        <v>1569000000</v>
      </c>
      <c r="C8" s="18">
        <v>1444000000</v>
      </c>
      <c r="D8" s="18">
        <v>1321000000</v>
      </c>
      <c r="E8" s="18">
        <v>1077000000</v>
      </c>
      <c r="F8" s="6" t="s">
        <v>96</v>
      </c>
    </row>
    <row r="9" spans="1:6" x14ac:dyDescent="0.25">
      <c r="A9" t="s">
        <v>97</v>
      </c>
      <c r="B9" s="18">
        <v>1808000000</v>
      </c>
      <c r="C9" s="18">
        <v>-677000000</v>
      </c>
      <c r="D9" s="18">
        <v>1300000000</v>
      </c>
      <c r="E9" s="18">
        <v>-162000000</v>
      </c>
      <c r="F9" s="6" t="s">
        <v>98</v>
      </c>
    </row>
    <row r="10" spans="1:6" x14ac:dyDescent="0.25">
      <c r="A10" t="s">
        <v>99</v>
      </c>
      <c r="B10" s="18">
        <v>48835000000</v>
      </c>
      <c r="C10" s="18">
        <v>45695000000</v>
      </c>
      <c r="D10" s="18">
        <v>47909000000</v>
      </c>
      <c r="E10" s="18">
        <v>43123000000</v>
      </c>
      <c r="F10" s="6" t="s">
        <v>100</v>
      </c>
    </row>
    <row r="11" spans="1:6" x14ac:dyDescent="0.25">
      <c r="A11" t="s">
        <v>101</v>
      </c>
      <c r="B11" s="18">
        <v>4872000000</v>
      </c>
      <c r="C11" s="18">
        <v>4216000000</v>
      </c>
      <c r="D11" s="18">
        <v>3060000000</v>
      </c>
      <c r="E11" s="18">
        <v>3207000000</v>
      </c>
      <c r="F11" s="6" t="s">
        <v>102</v>
      </c>
    </row>
    <row r="12" spans="1:6" x14ac:dyDescent="0.25">
      <c r="A12" t="s">
        <v>34</v>
      </c>
      <c r="B12" s="34">
        <v>1558000000</v>
      </c>
      <c r="C12" s="34">
        <v>1556000000</v>
      </c>
      <c r="D12" s="34">
        <v>1553000000</v>
      </c>
      <c r="E12" s="34">
        <v>1552000000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