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<sst xmlns="http://schemas.openxmlformats.org/spreadsheetml/2006/main" count="113" uniqueCount="101">
  <si>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Pro Medicus Limited (PME.AX)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</si>
  <si>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</si>
  <si>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</si>
  <si>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</si>
  <si>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</si>
  <si>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</si>
  <si>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</si>
  <si>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</si>
  <si>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</si>
  <si>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</si>
  <si>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</si>
  <si>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</si>
  <si>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</si>
  <si>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</si>
  <si>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</si>
  <si>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</si>
  <si>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</si>
  <si>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</si>
  <si>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</si>
  <si>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</si>
  <si>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</si>
  <si>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</si>
  <si>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</si>
  <si>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</si>
  <si>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</si>
  <si>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</si>
  <si>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</si>
  <si>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</si>
  <si>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</si>
  <si>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</si>
  <si>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</si>
  <si>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</si>
  <si>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</si>
  <si>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</si>
  <si>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</si>
  <si>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</si>
  <si>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</si>
  <si>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</si>
  <si>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</si>
  <si>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</si>
  <si>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</si>
  <si>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</si>
  <si>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</si>
  <si>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</si>
  <si>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</si>
  <si>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</si>
  <si>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</si>
  <si>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</si>
  <si>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</si>
  <si>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</si>
  <si>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</si>
  <si>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</si>
  <si>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</si>
  <si>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</si>
  <si>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</si>
  <si>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</si>
  <si>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</si>
  <si>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</si>
  <si>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</si>
  <si>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</si>
  <si>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</si>
  <si>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</si>
  <si>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</si>
  <si>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</si>
  <si>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</si>
  <si>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</si>
  <si>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</si>
  <si>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</si>
  <si>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</si>
  <si>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</si>
  <si>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</si>
  <si>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</si>
  <si>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</si>
  <si>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</si>
  <si>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</si>
  <si>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</si>
  <si>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</si>
  <si>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</si>
  <si>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</si>
  <si>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</si>
  <si>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</si>
  <si>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</si>
  <si>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</si>
  <si>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</si>
  <si>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</si>
  <si>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</si>
  <si>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</si>
  <si>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</si>
  <si>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</si>
  <si>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</si>
  <si>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</si>
  <si>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</si>
  <si>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</si>
  <si>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</si>
  <si>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</si>
  <si>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</si>
  <si>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</si>
  <si>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</si>
  <si>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</si>
  <si>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Current EV/EBITDA of 85.6x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</si>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</sst>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0.27986742538545584</v>
      </c>
    </row>
    <row r="7" spans="1:2" x14ac:dyDescent="0.25">
      <c r="A7" t="s">
        <v>5</v>
      </c>
      <c r="B7" s="6">
        <v>0.7139525345232791</v>
      </c>
    </row>
    <row r="8" spans="1:2" x14ac:dyDescent="0.25">
      <c r="A8" t="s">
        <v>6</v>
      </c>
      <c r="B8" s="6">
        <v>0.2951600242061978</v>
      </c>
    </row>
    <row r="9" spans="1:2" x14ac:dyDescent="0.25">
      <c r="A9" t="s">
        <v>7</v>
      </c>
      <c r="B9" s="6">
        <v>0.04525805775039766</v>
      </c>
    </row>
    <row r="10" spans="1:2" x14ac:dyDescent="0.25">
      <c r="A10" t="s">
        <v>8</v>
      </c>
      <c r="B10" s="6">
        <v>0.04024189092433977</v>
      </c>
    </row>
    <row r="11" spans="1:2" x14ac:dyDescent="0.25">
      <c r="A11" t="s">
        <v>9</v>
      </c>
      <c r="B11" s="6">
        <v>0.3213924935892455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0.42330450154290866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0.7185999999999999</v>
      </c>
      <c r="C19" s="8" t="s">
        <v>19</v>
      </c>
    </row>
    <row r="20" spans="1:2" x14ac:dyDescent="0.25">
      <c r="A20" t="s">
        <v>20</v>
      </c>
      <c r="B20" s="10">
        <f>B17+B19*B18</f>
        <v>0.09659599999999999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17714972672</v>
      </c>
    </row>
    <row r="23" spans="1:2" x14ac:dyDescent="0.25">
      <c r="A23" t="s">
        <v>24</v>
      </c>
      <c r="B23" s="11">
        <v>2231000</v>
      </c>
    </row>
    <row r="24" spans="1:2" x14ac:dyDescent="0.25">
      <c r="A24" t="s">
        <v>25</v>
      </c>
      <c r="B24" s="10">
        <f>B22/(B22+B23)</f>
        <v>0.9998740771940481</v>
      </c>
    </row>
    <row r="25" spans="1:2" x14ac:dyDescent="0.25">
      <c r="A25" t="s">
        <v>26</v>
      </c>
      <c r="B25" s="10">
        <f>1-B24</f>
        <v>0.00012592280595191685</v>
      </c>
    </row>
    <row r="26" spans="1:2" x14ac:dyDescent="0.25">
      <c r="A26" t="s">
        <v>27</v>
      </c>
      <c r="B26" s="12">
        <f>B24*B20+B25*B21*(1-B8)</f>
        <v>0.09659035810944888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261616000</v>
      </c>
      <c r="C29" s="8" t="s">
        <v>30</v>
      </c>
    </row>
    <row r="30" spans="1:2" x14ac:dyDescent="0.25">
      <c r="A30" t="s">
        <v>31</v>
      </c>
      <c r="B30" s="11">
        <v>-248392000</v>
      </c>
    </row>
    <row r="31" spans="1:2" x14ac:dyDescent="0.25">
      <c r="A31" t="s">
        <v>32</v>
      </c>
      <c r="B31" s="13">
        <v>104630915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0.27986742538545584</v>
      </c>
      <c r="C5" s="10">
        <f>Assumptions!B6</f>
        <v>0.27986742538545584</v>
      </c>
      <c r="D5" s="10">
        <f>Assumptions!B6</f>
        <v>0.27986742538545584</v>
      </c>
      <c r="E5" s="10">
        <f>Assumptions!B6</f>
        <v>0.27986742538545584</v>
      </c>
      <c r="F5" s="10">
        <f>Assumptions!B6</f>
        <v>0.27986742538545584</v>
      </c>
    </row>
    <row r="6" spans="1:6" x14ac:dyDescent="0.25">
      <c r="A6" t="s">
        <v>43</v>
      </c>
      <c r="B6" s="18">
        <f>Assumptions!B29*(1+B5)</f>
        <v>334833796.35964143</v>
      </c>
      <c r="C6" s="18">
        <f>B6*(1+C5)</f>
        <v>428542868.8788523</v>
      </c>
      <c r="D6" s="18">
        <f>C6*(1+D5)</f>
        <v>548478058.2592736</v>
      </c>
      <c r="E6" s="18">
        <f>D6*(1+E5)</f>
        <v>701979200.3047106</v>
      </c>
      <c r="F6" s="18">
        <f>E6*(1+F5)</f>
        <v>898440311.7681311</v>
      </c>
    </row>
    <row r="7" spans="1:6" x14ac:dyDescent="0.25">
      <c r="A7" t="s">
        <v>5</v>
      </c>
      <c r="B7" s="10">
        <f>Assumptions!B7</f>
        <v>0.7139525345232791</v>
      </c>
      <c r="C7" s="10">
        <f>Assumptions!B7</f>
        <v>0.7139525345232791</v>
      </c>
      <c r="D7" s="10">
        <f>Assumptions!B7</f>
        <v>0.7139525345232791</v>
      </c>
      <c r="E7" s="10">
        <f>Assumptions!B7</f>
        <v>0.7139525345232791</v>
      </c>
      <c r="F7" s="10">
        <f>Assumptions!B7</f>
        <v>0.7139525345232791</v>
      </c>
    </row>
    <row r="8" spans="1:6" x14ac:dyDescent="0.25">
      <c r="A8" t="s">
        <v>44</v>
      </c>
      <c r="B8" s="18">
        <f>B6*B7</f>
        <v>239055437.5550175</v>
      </c>
      <c r="C8" s="18">
        <f>C6*C7</f>
        <v>305959267.38793385</v>
      </c>
      <c r="D8" s="18">
        <f>D6*D7</f>
        <v>391587299.8246152</v>
      </c>
      <c r="E8" s="18">
        <f>E6*E7</f>
        <v>501179829.2401728</v>
      </c>
      <c r="F8" s="18">
        <f>F6*F7</f>
        <v>641443737.7047423</v>
      </c>
    </row>
    <row r="9" spans="1:6" x14ac:dyDescent="0.25">
      <c r="A9" t="s">
        <v>45</v>
      </c>
      <c r="B9" s="18">
        <f>B8*(1-Assumptions!B8)</f>
        <v>168495828.81965533</v>
      </c>
      <c r="C9" s="18">
        <f>C8*(1-Assumptions!B8)</f>
        <v>215652322.61960074</v>
      </c>
      <c r="D9" s="18">
        <f>D8*(1-Assumptions!B8)</f>
        <v>276006382.9295421</v>
      </c>
      <c r="E9" s="18">
        <f>E8*(1-Assumptions!B8)</f>
        <v>353251578.7099853</v>
      </c>
      <c r="F9" s="18">
        <f>F8*(1-Assumptions!B8)</f>
        <v>452115188.55689657</v>
      </c>
    </row>
    <row r="10" spans="1:6" x14ac:dyDescent="0.25">
      <c r="A10" t="s">
        <v>46</v>
      </c>
      <c r="B10" s="18">
        <f>B6*Assumptions!B9</f>
        <v>15153927.29242954</v>
      </c>
      <c r="C10" s="18">
        <f>C6*Assumptions!B9</f>
        <v>19395017.908240188</v>
      </c>
      <c r="D10" s="18">
        <f>D6*Assumptions!B9</f>
        <v>24823051.63552418</v>
      </c>
      <c r="E10" s="18">
        <f>E6*Assumptions!B9</f>
        <v>31770215.186968558</v>
      </c>
      <c r="F10" s="18">
        <f>F6*Assumptions!B9</f>
        <v>40661663.515287355</v>
      </c>
    </row>
    <row r="11" spans="1:6" x14ac:dyDescent="0.25">
      <c r="A11" t="s">
        <v>47</v>
      </c>
      <c r="B11" s="18">
        <f>-B6*Assumptions!B10</f>
        <v>-13474345.110887283</v>
      </c>
      <c r="C11" s="18">
        <f>-C6*Assumptions!B10</f>
        <v>-17245375.385826413</v>
      </c>
      <c r="D11" s="18">
        <f>-D6*Assumptions!B10</f>
        <v>-22071794.19486336</v>
      </c>
      <c r="E11" s="18">
        <f>-E6*Assumptions!B10</f>
        <v>-28248970.409817424</v>
      </c>
      <c r="F11" s="18">
        <f>-F6*Assumptions!B10</f>
        <v>-36154937.02820294</v>
      </c>
    </row>
    <row r="12" spans="1:6" x14ac:dyDescent="0.25">
      <c r="A12" t="s">
        <v>48</v>
      </c>
      <c r="B12" s="18">
        <f>-(B6-Assumptions!B29)*Assumptions!B11</f>
        <v>-23531650.14713474</v>
      </c>
      <c r="C12" s="18">
        <f>-(C6-B6)*Assumptions!B11</f>
        <v>-30117392.48888462</v>
      </c>
      <c r="D12" s="18">
        <f>-(D6-C6)*Assumptions!B11</f>
        <v>-38546269.58407201</v>
      </c>
      <c r="E12" s="18">
        <f>-(E6-D6)*Assumptions!B11</f>
        <v>-49334114.81077997</v>
      </c>
      <c r="F12" s="18">
        <f>-(F6-E6)*Assumptions!B11</f>
        <v>-63141126.50654342</v>
      </c>
    </row>
    <row r="13" spans="1:6" x14ac:dyDescent="0.25">
      <c r="A13" s="19" t="s">
        <v>49</v>
      </c>
      <c r="B13" s="20">
        <f>B9+B10+B11+B12</f>
        <v>146643760.85406283</v>
      </c>
      <c r="C13" s="20">
        <f>C9+C10+C11+C12</f>
        <v>187684572.6531299</v>
      </c>
      <c r="D13" s="20">
        <f>D9+D10+D11+D12</f>
        <v>240211370.7861309</v>
      </c>
      <c r="E13" s="20">
        <f>E9+E10+E11+E12</f>
        <v>307438708.6763565</v>
      </c>
      <c r="F13" s="20">
        <f>F9+F10+F11+F12</f>
        <v>393480788.53743756</v>
      </c>
    </row>
    <row r="14" spans="1:6" x14ac:dyDescent="0.25">
      <c r="A14" t="s">
        <v>50</v>
      </c>
      <c r="B14" s="21">
        <f>1/(1+Assumptions!$B$26)^(1-0.5*Assumptions!$B$32)</f>
        <v>0.9549437452740545</v>
      </c>
      <c r="C14" s="21">
        <f>1/(1+Assumptions!$B$26)^(2-0.5*Assumptions!$B$32)</f>
        <v>0.8708299669170928</v>
      </c>
      <c r="D14" s="21">
        <f>1/(1+Assumptions!$B$26)^(3-0.5*Assumptions!$B$32)</f>
        <v>0.7941251356782191</v>
      </c>
      <c r="E14" s="21">
        <f>1/(1+Assumptions!$B$26)^(4-0.5*Assumptions!$B$32)</f>
        <v>0.7241766533925321</v>
      </c>
      <c r="F14" s="21">
        <f>1/(1+Assumptions!$B$26)^(5-0.5*Assumptions!$B$32)</f>
        <v>0.6603894043360293</v>
      </c>
    </row>
    <row r="15" spans="1:6" x14ac:dyDescent="0.25">
      <c r="A15" s="19" t="s">
        <v>51</v>
      </c>
      <c r="B15" s="20">
        <f>B13*B14</f>
        <v>140036542.21105152</v>
      </c>
      <c r="C15" s="20">
        <f>C13*C14</f>
        <v>163441350.19437382</v>
      </c>
      <c r="D15" s="20">
        <f>D13*D14</f>
        <v>190757887.41698718</v>
      </c>
      <c r="E15" s="20">
        <f>E13*E14</f>
        <v>222639935.17256546</v>
      </c>
      <c r="F15" s="20">
        <f>F13*F14</f>
        <v>259850543.5599095</v>
      </c>
    </row>
    <row r="17" spans="1:2" x14ac:dyDescent="0.25">
      <c r="A17" s="22" t="s">
        <v>52</v>
      </c>
      <c r="B17" s="23">
        <f>SUM(B15:F15)</f>
        <v>976726258.5548874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393480788.53743756</v>
      </c>
    </row>
    <row r="5" spans="1:2" x14ac:dyDescent="0.25">
      <c r="A5" t="s">
        <v>56</v>
      </c>
      <c r="B5" s="18">
        <f>IF(Assumptions!$B$33=0,B4,B4-Forecast!F11-Forecast!F10-Forecast!F12)</f>
        <v>452115188.55689657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0.059059140426990835</v>
      </c>
    </row>
    <row r="7" spans="1:2" x14ac:dyDescent="0.25">
      <c r="A7" t="s">
        <v>58</v>
      </c>
      <c r="B7" s="18">
        <f>-MAX(Forecast!F9,0)*B6</f>
        <v>-26701534.410157192</v>
      </c>
    </row>
    <row r="8" spans="1:2" x14ac:dyDescent="0.25">
      <c r="A8" t="s">
        <v>59</v>
      </c>
      <c r="B8" s="18">
        <f>IF(OR(Assumptions!$B$33=0,Assumptions!B12&lt;=0),B5,MAX(B5+B7,0))</f>
        <v>425413654.14673936</v>
      </c>
    </row>
    <row r="9" spans="1:2" x14ac:dyDescent="0.25">
      <c r="A9" t="s">
        <v>60</v>
      </c>
      <c r="B9" s="18">
        <f>B8*(1+Assumptions!B12)/(Assumptions!B26-Assumptions!B12)</f>
        <v>6090889988.757518</v>
      </c>
    </row>
    <row r="10" spans="1:2" x14ac:dyDescent="0.25">
      <c r="A10" t="s">
        <v>61</v>
      </c>
      <c r="B10" s="18">
        <f>B9/(1+Assumptions!B26)^(5-0.5*Assumptions!B32)</f>
        <v>4022359211.551862</v>
      </c>
    </row>
    <row r="11" spans="1:2" x14ac:dyDescent="0.25">
      <c r="A11" t="s">
        <v>62</v>
      </c>
      <c r="B11" s="18">
        <f>Forecast!B17+B10</f>
        <v>4999085470.10675</v>
      </c>
    </row>
    <row r="12" spans="1:2" x14ac:dyDescent="0.25">
      <c r="A12" t="s">
        <v>63</v>
      </c>
      <c r="B12" s="18">
        <f>-Assumptions!B30</f>
        <v>248392000</v>
      </c>
    </row>
    <row r="13" spans="1:2" x14ac:dyDescent="0.25">
      <c r="A13" t="s">
        <v>64</v>
      </c>
      <c r="B13" s="18">
        <f>B11+B12</f>
        <v>5247477470.10675</v>
      </c>
    </row>
    <row r="14" spans="1:2" x14ac:dyDescent="0.25">
      <c r="A14" s="19" t="s">
        <v>65</v>
      </c>
      <c r="B14" s="24">
        <f>B13/Assumptions!B31</f>
        <v>50.15226589681214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682105401.2200297</v>
      </c>
    </row>
    <row r="18" spans="1:2" x14ac:dyDescent="0.25">
      <c r="A18" t="s">
        <v>60</v>
      </c>
      <c r="B18" s="18">
        <f>B17*Assumptions!B13</f>
        <v>13642108024.400595</v>
      </c>
    </row>
    <row r="19" spans="1:2" x14ac:dyDescent="0.25">
      <c r="A19" t="s">
        <v>61</v>
      </c>
      <c r="B19" s="18">
        <f>B18/(1+Assumptions!B26)^(5-0.5*Assumptions!B32)</f>
        <v>9009103592.121675</v>
      </c>
    </row>
    <row r="20" spans="1:2" x14ac:dyDescent="0.25">
      <c r="A20" t="s">
        <v>62</v>
      </c>
      <c r="B20" s="18">
        <f>Forecast!B17+B19</f>
        <v>9985829850.676563</v>
      </c>
    </row>
    <row r="21" spans="1:2" x14ac:dyDescent="0.25">
      <c r="A21" t="s">
        <v>63</v>
      </c>
      <c r="B21" s="18">
        <f>-Assumptions!B30</f>
        <v>248392000</v>
      </c>
    </row>
    <row r="22" spans="1:2" x14ac:dyDescent="0.25">
      <c r="A22" t="s">
        <v>64</v>
      </c>
      <c r="B22" s="18">
        <f>B20+B21</f>
        <v>10234221850.676563</v>
      </c>
    </row>
    <row r="23" spans="1:2" x14ac:dyDescent="0.25">
      <c r="A23" s="19" t="s">
        <v>65</v>
      </c>
      <c r="B23" s="25">
        <f>B22/Assumptions!B31</f>
        <v>97.81260013521398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169.57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50.15226589681214</v>
      </c>
    </row>
    <row r="29" spans="1:2" x14ac:dyDescent="0.25">
      <c r="A29" s="19" t="s">
        <v>73</v>
      </c>
      <c r="B29" s="12">
        <f>B28/B26-1</f>
        <v>-0.7042385687514765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0.07659</v>
      </c>
      <c r="B5" s="31">
        <v>61.48459744157723</v>
      </c>
      <c r="C5" s="31">
        <v>65.44271314420142</v>
      </c>
      <c r="D5" s="31">
        <v>70.16095657787085</v>
      </c>
      <c r="E5" s="31">
        <v>75.88405656777718</v>
      </c>
      <c r="F5" s="31">
        <v>82.97442831814146</v>
      </c>
    </row>
    <row r="6" spans="1:6" x14ac:dyDescent="0.25">
      <c r="A6" s="30">
        <v>0.08659</v>
      </c>
      <c r="B6" s="31">
        <v>52.61945454101657</v>
      </c>
      <c r="C6" s="31">
        <v>55.35031080671071</v>
      </c>
      <c r="D6" s="31">
        <v>58.51885691418252</v>
      </c>
      <c r="E6" s="31">
        <v>62.24110890207255</v>
      </c>
      <c r="F6" s="31">
        <v>66.67805898217127</v>
      </c>
    </row>
    <row r="7" spans="1:6" x14ac:dyDescent="0.25">
      <c r="A7" s="30">
        <v>0.09659</v>
      </c>
      <c r="B7" s="31">
        <v>45.95025596455183</v>
      </c>
      <c r="C7" s="31">
        <v>47.9164223998854</v>
      </c>
      <c r="D7" s="32">
        <v>50.152523247548295</v>
      </c>
      <c r="E7" s="31">
        <v>52.71936367625866</v>
      </c>
      <c r="F7" s="31">
        <v>55.69749399801051</v>
      </c>
    </row>
    <row r="8" spans="1:6" x14ac:dyDescent="0.25">
      <c r="A8" s="30">
        <v>0.10659</v>
      </c>
      <c r="B8" s="31">
        <v>40.756725859333855</v>
      </c>
      <c r="C8" s="31">
        <v>42.21897965557011</v>
      </c>
      <c r="D8" s="31">
        <v>43.85648740137738</v>
      </c>
      <c r="E8" s="31">
        <v>45.70357223611544</v>
      </c>
      <c r="F8" s="31">
        <v>47.80414610745804</v>
      </c>
    </row>
    <row r="9" spans="1:6" x14ac:dyDescent="0.25">
      <c r="A9" s="30">
        <v>0.11659</v>
      </c>
      <c r="B9" s="31">
        <v>36.602242377654754</v>
      </c>
      <c r="C9" s="31">
        <v>37.71781483795192</v>
      </c>
      <c r="D9" s="31">
        <v>38.95179535308292</v>
      </c>
      <c r="E9" s="31">
        <v>40.324695769941265</v>
      </c>
      <c r="F9" s="31">
        <v>41.8620559650548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261616000</v>
      </c>
      <c r="C5" s="18">
        <v>212905000</v>
      </c>
      <c r="D5" s="18">
        <v>161429000</v>
      </c>
      <c r="E5" s="18">
        <v>124787000</v>
      </c>
      <c r="F5" s="8" t="s">
        <v>84</v>
      </c>
    </row>
    <row r="6" spans="1:6" x14ac:dyDescent="0.25">
      <c r="A6" t="s">
        <v>44</v>
      </c>
      <c r="B6" s="18">
        <v>196044000</v>
      </c>
      <c r="C6" s="18">
        <v>157614000</v>
      </c>
      <c r="D6" s="18">
        <v>112180000</v>
      </c>
      <c r="E6" s="18">
        <v>83761000</v>
      </c>
      <c r="F6" s="8" t="s">
        <v>85</v>
      </c>
    </row>
    <row r="7" spans="1:6" x14ac:dyDescent="0.25">
      <c r="A7" t="s">
        <v>86</v>
      </c>
      <c r="B7" s="18">
        <v>8061000</v>
      </c>
      <c r="C7" s="18">
        <v>7236000</v>
      </c>
      <c r="D7" s="18">
        <v>8510000</v>
      </c>
      <c r="E7" s="18">
        <v>7926000</v>
      </c>
      <c r="F7" s="8" t="s">
        <v>87</v>
      </c>
    </row>
    <row r="8" spans="1:6" x14ac:dyDescent="0.25">
      <c r="A8" t="s">
        <v>88</v>
      </c>
      <c r="B8" s="18">
        <v>8686000</v>
      </c>
      <c r="C8" s="18">
        <v>7377000</v>
      </c>
      <c r="D8" s="18">
        <v>6693000</v>
      </c>
      <c r="E8" s="18">
        <v>6446000</v>
      </c>
      <c r="F8" s="8" t="s">
        <v>89</v>
      </c>
    </row>
    <row r="9" spans="1:6" x14ac:dyDescent="0.25">
      <c r="A9" t="s">
        <v>90</v>
      </c>
      <c r="B9" s="18">
        <v>33796000</v>
      </c>
      <c r="C9" s="18">
        <v>16544000</v>
      </c>
      <c r="D9" s="18">
        <v>7545000</v>
      </c>
      <c r="E9" s="18">
        <v>-22000</v>
      </c>
      <c r="F9" s="8" t="s">
        <v>91</v>
      </c>
    </row>
    <row r="10" spans="1:6" x14ac:dyDescent="0.25">
      <c r="A10" t="s">
        <v>92</v>
      </c>
      <c r="B10" s="18">
        <v>2231000</v>
      </c>
      <c r="C10" s="18">
        <v>2255000</v>
      </c>
      <c r="D10" s="18">
        <v>2069000</v>
      </c>
      <c r="E10" s="18">
        <v>1851000</v>
      </c>
      <c r="F10" s="8" t="s">
        <v>93</v>
      </c>
    </row>
    <row r="11" spans="1:6" x14ac:dyDescent="0.25">
      <c r="A11" t="s">
        <v>94</v>
      </c>
      <c r="B11" s="18">
        <v>250623000</v>
      </c>
      <c r="C11" s="18">
        <v>209185000</v>
      </c>
      <c r="D11" s="18">
        <v>155425000</v>
      </c>
      <c r="E11" s="18">
        <v>121495000</v>
      </c>
      <c r="F11" s="8" t="s">
        <v>95</v>
      </c>
    </row>
    <row r="12" spans="1:6" x14ac:dyDescent="0.25">
      <c r="A12" t="s">
        <v>32</v>
      </c>
      <c r="B12" s="34">
        <v>104630915</v>
      </c>
      <c r="C12" s="34">
        <v>104647593</v>
      </c>
      <c r="D12" s="34">
        <v>104670038</v>
      </c>
      <c r="E12" s="34">
        <v>104565517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2026-09-19T00:06:54Z</dcterms:modified>
</cp:coreProperties>
</file>