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<sst xmlns="http://schemas.openxmlformats.org/spreadsheetml/2006/main" count="113" uniqueCount="100">
  <si>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The PNC Financial Services Group, Inc. (PNC)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</si>
  <si>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</si>
  <si>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</si>
  <si>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</si>
  <si>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</si>
  <si>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</si>
  <si>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</si>
  <si>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</si>
  <si>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</si>
  <si>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</si>
  <si>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</si>
  <si>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</si>
  <si>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</si>
  <si>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</si>
  <si>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</si>
  <si>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</si>
  <si>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</si>
  <si>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</si>
  <si>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</si>
  <si>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</si>
  <si>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</si>
  <si>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</si>
  <si>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18.3%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</si>
  <si>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</si>
  <si>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</si>
  <si>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</si>
  <si>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</si>
  <si>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</si>
  <si>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</si>
  <si>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</si>
  <si>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</si>
  <si>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</si>
  <si>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</si>
  <si>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</si>
  <si>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</si>
  <si>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</si>
  <si>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</si>
  <si>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</si>
  <si>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</si>
  <si>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</si>
  <si>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</si>
  <si>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</si>
  <si>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</si>
  <si>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</si>
  <si>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</si>
  <si>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</si>
  <si>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</si>
  <si>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</si>
  <si>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</si>
  <si>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</si>
  <si>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</si>
  <si>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</si>
  <si>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</si>
  <si>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</si>
  <si>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</si>
  <si>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</si>
  <si>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</si>
  <si>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</si>
  <si>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</si>
  <si>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</si>
  <si>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</si>
  <si>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</si>
  <si>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</si>
  <si>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</si>
  <si>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</si>
  <si>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</si>
  <si>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</si>
  <si>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</si>
  <si>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</si>
  <si>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</si>
  <si>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</si>
  <si>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</si>
  <si>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</si>
  <si>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</si>
  <si>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</si>
  <si>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</si>
  <si>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</si>
  <si>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</si>
  <si>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</si>
  <si>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</si>
  <si>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</si>
  <si>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</si>
  <si>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</si>
  <si>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</si>
  <si>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</si>
  <si>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</si>
  <si>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</si>
  <si>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</si>
  <si>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</si>
  <si>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</si>
  <si>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</si>
  <si>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</si>
  <si>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</si>
  <si>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</si>
  <si>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</si>
  <si>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</si>
  <si>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</si>
  <si>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</si>
  <si>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1.75%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</si>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</sst>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0.030076812103055017</v>
      </c>
    </row>
    <row r="7" spans="1:2" x14ac:dyDescent="0.25">
      <c r="A7" t="s">
        <v>5</v>
      </c>
      <c r="B7" s="6">
        <v>0.34571373476022527</v>
      </c>
    </row>
    <row r="8" spans="1:2" x14ac:dyDescent="0.25">
      <c r="A8" t="s">
        <v>6</v>
      </c>
      <c r="B8" s="6">
        <v>0.17672748910221575</v>
      </c>
    </row>
    <row r="9" spans="1:2" x14ac:dyDescent="0.25">
      <c r="A9" t="s">
        <v>7</v>
      </c>
      <c r="B9" s="6">
        <v>0.01746947636603581</v>
      </c>
    </row>
    <row r="10" spans="1:2" x14ac:dyDescent="0.25">
      <c r="A10" t="s">
        <v>8</v>
      </c>
      <c r="B10" s="6">
        <v>0.01746947636603581</v>
      </c>
    </row>
    <row r="11" spans="1:2" x14ac:dyDescent="0.25">
      <c r="A11" t="s">
        <v>9</v>
      </c>
      <c r="B11" s="6">
        <v>-0.8385714285714285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12.45175370429683</v>
      </c>
    </row>
    <row r="14" spans="1:3" x14ac:dyDescent="0.25">
      <c r="A14" t="s">
        <v>12</v>
      </c>
      <c r="B14" s="6">
        <v>0.08442870011295134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0.92563</v>
      </c>
      <c r="C19" s="8" t="s">
        <v>19</v>
      </c>
    </row>
    <row r="20" spans="1:2" x14ac:dyDescent="0.25">
      <c r="A20" t="s">
        <v>20</v>
      </c>
      <c r="B20" s="10">
        <f>B17+B19*B18</f>
        <v>0.10088965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93021700096</v>
      </c>
    </row>
    <row r="23" spans="1:2" x14ac:dyDescent="0.25">
      <c r="A23" t="s">
        <v>24</v>
      </c>
      <c r="B23" s="11">
        <v>57101000000</v>
      </c>
    </row>
    <row r="24" spans="1:2" x14ac:dyDescent="0.25">
      <c r="A24" t="s">
        <v>25</v>
      </c>
      <c r="B24" s="10">
        <f>B22/(B22+B23)</f>
        <v>0.6196378031870914</v>
      </c>
    </row>
    <row r="25" spans="1:2" x14ac:dyDescent="0.25">
      <c r="A25" t="s">
        <v>26</v>
      </c>
      <c r="B25" s="10">
        <f>1-B24</f>
        <v>0.3803621968129086</v>
      </c>
    </row>
    <row r="26" spans="1:2" x14ac:dyDescent="0.25">
      <c r="A26" t="s">
        <v>27</v>
      </c>
      <c r="B26" s="12">
        <f>B24*B20+B25*B21*(1-B8)</f>
        <v>0.08442870011295134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23077000000</v>
      </c>
      <c r="C29" s="8" t="s">
        <v>30</v>
      </c>
    </row>
    <row r="30" spans="1:2" x14ac:dyDescent="0.25">
      <c r="A30" t="s">
        <v>31</v>
      </c>
      <c r="B30" s="11">
        <v>17388000000</v>
      </c>
    </row>
    <row r="31" spans="1:2" x14ac:dyDescent="0.25">
      <c r="A31" t="s">
        <v>32</v>
      </c>
      <c r="B31" s="13">
        <v>396000000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0.030076812103055017</v>
      </c>
      <c r="C5" s="10">
        <f>Assumptions!B6</f>
        <v>0.030076812103055017</v>
      </c>
      <c r="D5" s="10">
        <f>Assumptions!B6</f>
        <v>0.030076812103055017</v>
      </c>
      <c r="E5" s="10">
        <f>Assumptions!B6</f>
        <v>0.030076812103055017</v>
      </c>
      <c r="F5" s="10">
        <f>Assumptions!B6</f>
        <v>0.030076812103055017</v>
      </c>
    </row>
    <row r="6" spans="1:6" x14ac:dyDescent="0.25">
      <c r="A6" t="s">
        <v>43</v>
      </c>
      <c r="B6" s="18">
        <f>Assumptions!B29*(1+B5)</f>
        <v>23771082592.9022</v>
      </c>
      <c r="C6" s="18">
        <f>B6*(1+C5)</f>
        <v>24486040977.535122</v>
      </c>
      <c r="D6" s="18">
        <f>C6*(1+D5)</f>
        <v>25222503031.16415</v>
      </c>
      <c r="E6" s="18">
        <f>D6*(1+E5)</f>
        <v>25981115515.60121</v>
      </c>
      <c r="F6" s="18">
        <f>E6*(1+F5)</f>
        <v>26762544645.191715</v>
      </c>
    </row>
    <row r="7" spans="1:6" x14ac:dyDescent="0.25">
      <c r="A7" t="s">
        <v>5</v>
      </c>
      <c r="B7" s="10">
        <f>Assumptions!B7</f>
        <v>0.34571373476022527</v>
      </c>
      <c r="C7" s="10">
        <f>Assumptions!B7</f>
        <v>0.34571373476022527</v>
      </c>
      <c r="D7" s="10">
        <f>Assumptions!B7</f>
        <v>0.34571373476022527</v>
      </c>
      <c r="E7" s="10">
        <f>Assumptions!B7</f>
        <v>0.34571373476022527</v>
      </c>
      <c r="F7" s="10">
        <f>Assumptions!B7</f>
        <v>0.34571373476022527</v>
      </c>
    </row>
    <row r="8" spans="1:6" x14ac:dyDescent="0.25">
      <c r="A8" t="s">
        <v>44</v>
      </c>
      <c r="B8" s="18">
        <f>B6*B7</f>
        <v>8217989742.485999</v>
      </c>
      <c r="C8" s="18">
        <f>C6*C7</f>
        <v>8465160675.835584</v>
      </c>
      <c r="D8" s="18">
        <f>D6*D7</f>
        <v>8719765722.904861</v>
      </c>
      <c r="E8" s="18">
        <f>E6*E7</f>
        <v>8982028478.13533</v>
      </c>
      <c r="F8" s="18">
        <f>F6*F7</f>
        <v>9252179260.976496</v>
      </c>
    </row>
    <row r="9" spans="1:6" x14ac:dyDescent="0.25">
      <c r="A9" t="s">
        <v>45</v>
      </c>
      <c r="B9" s="18">
        <f>B8*(1-Assumptions!B8)</f>
        <v>6765645049.828684</v>
      </c>
      <c r="C9" s="18">
        <f>C8*(1-Assumptions!B8)</f>
        <v>6969134084.748345</v>
      </c>
      <c r="D9" s="18">
        <f>D8*(1-Assumptions!B8)</f>
        <v>7178743421.136318</v>
      </c>
      <c r="E9" s="18">
        <f>E8*(1-Assumptions!B8)</f>
        <v>7394657138.149878</v>
      </c>
      <c r="F9" s="18">
        <f>F8*(1-Assumptions!B8)</f>
        <v>7617064851.460526</v>
      </c>
    </row>
    <row r="10" spans="1:6" x14ac:dyDescent="0.25">
      <c r="A10" t="s">
        <v>46</v>
      </c>
      <c r="B10" s="18">
        <f>B6*Assumptions!B9</f>
        <v>415268365.55179024</v>
      </c>
      <c r="C10" s="18">
        <f>C6*Assumptions!B9</f>
        <v>427758314.1548342</v>
      </c>
      <c r="D10" s="18">
        <f>D6*Assumptions!B9</f>
        <v>440623920.59518874</v>
      </c>
      <c r="E10" s="18">
        <f>E6*Assumptions!B9</f>
        <v>453876483.46304166</v>
      </c>
      <c r="F10" s="18">
        <f>F6*Assumptions!B9</f>
        <v>467527641.1741549</v>
      </c>
    </row>
    <row r="11" spans="1:6" x14ac:dyDescent="0.25">
      <c r="A11" t="s">
        <v>47</v>
      </c>
      <c r="B11" s="18">
        <f>-B6*Assumptions!B10</f>
        <v>-415268365.55179024</v>
      </c>
      <c r="C11" s="18">
        <f>-C6*Assumptions!B10</f>
        <v>-427758314.1548342</v>
      </c>
      <c r="D11" s="18">
        <f>-D6*Assumptions!B10</f>
        <v>-440623920.59518874</v>
      </c>
      <c r="E11" s="18">
        <f>-E6*Assumptions!B10</f>
        <v>-453876483.46304166</v>
      </c>
      <c r="F11" s="18">
        <f>-F6*Assumptions!B10</f>
        <v>-467527641.1741549</v>
      </c>
    </row>
    <row r="12" spans="1:6" x14ac:dyDescent="0.25">
      <c r="A12" t="s">
        <v>48</v>
      </c>
      <c r="B12" s="18">
        <f>-(B6-Assumptions!B29)*Assumptions!B11</f>
        <v>582037831.4765581</v>
      </c>
      <c r="C12" s="18">
        <f>-(C6-B6)*Assumptions!B11</f>
        <v>599543673.9707512</v>
      </c>
      <c r="D12" s="18">
        <f>-(D6-C6)*Assumptions!B11</f>
        <v>617576036.4003422</v>
      </c>
      <c r="E12" s="18">
        <f>-(E6-D6)*Assumptions!B11</f>
        <v>636150754.8065071</v>
      </c>
      <c r="F12" s="18">
        <f>-(F6-E6)*Assumptions!B11</f>
        <v>655284141.5280366</v>
      </c>
    </row>
    <row r="13" spans="1:6" x14ac:dyDescent="0.25">
      <c r="A13" s="19" t="s">
        <v>49</v>
      </c>
      <c r="B13" s="20">
        <f>B9+B10+B11+B12</f>
        <v>7347682881.305242</v>
      </c>
      <c r="C13" s="20">
        <f>C9+C10+C11+C12</f>
        <v>7568677758.719096</v>
      </c>
      <c r="D13" s="20">
        <f>D9+D10+D11+D12</f>
        <v>7796319457.53666</v>
      </c>
      <c r="E13" s="20">
        <f>E9+E10+E11+E12</f>
        <v>8030807892.956385</v>
      </c>
      <c r="F13" s="20">
        <f>F9+F10+F11+F12</f>
        <v>8272348992.988564</v>
      </c>
    </row>
    <row r="14" spans="1:6" x14ac:dyDescent="0.25">
      <c r="A14" t="s">
        <v>50</v>
      </c>
      <c r="B14" s="21">
        <f>1/(1+Assumptions!$B$26)^(1-0.5*Assumptions!$B$32)</f>
        <v>0.960283570382971</v>
      </c>
      <c r="C14" s="21">
        <f>1/(1+Assumptions!$B$26)^(2-0.5*Assumptions!$B$32)</f>
        <v>0.8855202470046672</v>
      </c>
      <c r="D14" s="21">
        <f>1/(1+Assumptions!$B$26)^(3-0.5*Assumptions!$B$32)</f>
        <v>0.8165776568919964</v>
      </c>
      <c r="E14" s="21">
        <f>1/(1+Assumptions!$B$26)^(4-0.5*Assumptions!$B$32)</f>
        <v>0.7530026241531081</v>
      </c>
      <c r="F14" s="21">
        <f>1/(1+Assumptions!$B$26)^(5-0.5*Assumptions!$B$32)</f>
        <v>0.6943772551156911</v>
      </c>
    </row>
    <row r="15" spans="1:6" x14ac:dyDescent="0.25">
      <c r="A15" s="19" t="s">
        <v>51</v>
      </c>
      <c r="B15" s="20">
        <f>B13*B14</f>
        <v>7055859151.301633</v>
      </c>
      <c r="C15" s="20">
        <f>C13*C14</f>
        <v>6702217398.399666</v>
      </c>
      <c r="D15" s="20">
        <f>D13*D14</f>
        <v>6366300275.016766</v>
      </c>
      <c r="E15" s="20">
        <f>E13*E14</f>
        <v>6047219417.465651</v>
      </c>
      <c r="F15" s="20">
        <f>F13*F14</f>
        <v>5744130987.110451</v>
      </c>
    </row>
    <row r="17" spans="1:2" x14ac:dyDescent="0.25">
      <c r="A17" s="22" t="s">
        <v>52</v>
      </c>
      <c r="B17" s="23">
        <f>SUM(B15:F15)</f>
        <v>31915727229.294167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8272348992.988564</v>
      </c>
    </row>
    <row r="5" spans="1:2" x14ac:dyDescent="0.25">
      <c r="A5" t="s">
        <v>56</v>
      </c>
      <c r="B5" s="18">
        <f>IF(Assumptions!$B$33=0,B4,B4-Forecast!F11-Forecast!F10-Forecast!F12)</f>
        <v>7617064851.460526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0.2961078397103618</v>
      </c>
    </row>
    <row r="7" spans="1:2" x14ac:dyDescent="0.25">
      <c r="A7" t="s">
        <v>58</v>
      </c>
      <c r="B7" s="18">
        <f>-MAX(Forecast!F9,0)*B6</f>
        <v>-2255472618.0997043</v>
      </c>
    </row>
    <row r="8" spans="1:2" x14ac:dyDescent="0.25">
      <c r="A8" t="s">
        <v>59</v>
      </c>
      <c r="B8" s="18">
        <f>IF(OR(Assumptions!$B$33=0,Assumptions!B12&lt;=0),B5,MAX(B5+B7,0))</f>
        <v>5361592233.360823</v>
      </c>
    </row>
    <row r="9" spans="1:2" x14ac:dyDescent="0.25">
      <c r="A9" t="s">
        <v>60</v>
      </c>
      <c r="B9" s="18">
        <f>B8*(1+Assumptions!B12)/(Assumptions!B26-Assumptions!B12)</f>
        <v>92474377342.08788</v>
      </c>
    </row>
    <row r="10" spans="1:2" x14ac:dyDescent="0.25">
      <c r="A10" t="s">
        <v>61</v>
      </c>
      <c r="B10" s="18">
        <f>B9/(1+Assumptions!B26)^(5-0.5*Assumptions!B32)</f>
        <v>64212104307.33164</v>
      </c>
    </row>
    <row r="11" spans="1:2" x14ac:dyDescent="0.25">
      <c r="A11" t="s">
        <v>62</v>
      </c>
      <c r="B11" s="18">
        <f>Forecast!B17+B10</f>
        <v>96127831536.62581</v>
      </c>
    </row>
    <row r="12" spans="1:2" x14ac:dyDescent="0.25">
      <c r="A12" t="s">
        <v>63</v>
      </c>
      <c r="B12" s="18">
        <f>-Assumptions!B30</f>
        <v>-17388000000</v>
      </c>
    </row>
    <row r="13" spans="1:2" x14ac:dyDescent="0.25">
      <c r="A13" t="s">
        <v>64</v>
      </c>
      <c r="B13" s="18">
        <f>B11+B12</f>
        <v>78739831536.62581</v>
      </c>
    </row>
    <row r="14" spans="1:2" x14ac:dyDescent="0.25">
      <c r="A14" s="19" t="s">
        <v>65</v>
      </c>
      <c r="B14" s="24">
        <f>B13/Assumptions!B31</f>
        <v>198.83795842582276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9719706902.15065</v>
      </c>
    </row>
    <row r="18" spans="1:2" x14ac:dyDescent="0.25">
      <c r="A18" t="s">
        <v>60</v>
      </c>
      <c r="B18" s="18">
        <f>B17*Assumptions!B13</f>
        <v>121027396423.53383</v>
      </c>
    </row>
    <row r="19" spans="1:2" x14ac:dyDescent="0.25">
      <c r="A19" t="s">
        <v>61</v>
      </c>
      <c r="B19" s="18">
        <f>B18/(1+Assumptions!B26)^(5-0.5*Assumptions!B32)</f>
        <v>84038671322.37204</v>
      </c>
    </row>
    <row r="20" spans="1:2" x14ac:dyDescent="0.25">
      <c r="A20" t="s">
        <v>62</v>
      </c>
      <c r="B20" s="18">
        <f>Forecast!B17+B19</f>
        <v>115954398551.6662</v>
      </c>
    </row>
    <row r="21" spans="1:2" x14ac:dyDescent="0.25">
      <c r="A21" t="s">
        <v>63</v>
      </c>
      <c r="B21" s="18">
        <f>-Assumptions!B30</f>
        <v>-17388000000</v>
      </c>
    </row>
    <row r="22" spans="1:2" x14ac:dyDescent="0.25">
      <c r="A22" t="s">
        <v>64</v>
      </c>
      <c r="B22" s="18">
        <f>B20+B21</f>
        <v>98566398551.6662</v>
      </c>
    </row>
    <row r="23" spans="1:2" x14ac:dyDescent="0.25">
      <c r="A23" s="19" t="s">
        <v>65</v>
      </c>
      <c r="B23" s="25">
        <f>B22/Assumptions!B31</f>
        <v>248.90504684764193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233.17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198.83795842582276</v>
      </c>
    </row>
    <row r="29" spans="1:2" x14ac:dyDescent="0.25">
      <c r="A29" s="19" t="s">
        <v>73</v>
      </c>
      <c r="B29" s="12">
        <f>B28/B26-1</f>
        <v>-0.1472403893047014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0.064429</v>
      </c>
      <c r="B5" s="31">
        <v>269.1911845046326</v>
      </c>
      <c r="C5" s="31">
        <v>270.31826760707594</v>
      </c>
      <c r="D5" s="31">
        <v>271.44535070951935</v>
      </c>
      <c r="E5" s="31">
        <v>272.57243381196264</v>
      </c>
      <c r="F5" s="31">
        <v>273.699516914406</v>
      </c>
    </row>
    <row r="6" spans="1:6" x14ac:dyDescent="0.25">
      <c r="A6" s="30">
        <v>0.074429</v>
      </c>
      <c r="B6" s="31">
        <v>228.399466434271</v>
      </c>
      <c r="C6" s="31">
        <v>229.3349163475046</v>
      </c>
      <c r="D6" s="31">
        <v>230.27036626073817</v>
      </c>
      <c r="E6" s="31">
        <v>231.20581617397178</v>
      </c>
      <c r="F6" s="31">
        <v>232.14126608720545</v>
      </c>
    </row>
    <row r="7" spans="1:6" x14ac:dyDescent="0.25">
      <c r="A7" s="30">
        <v>0.084429</v>
      </c>
      <c r="B7" s="31">
        <v>197.25516627329932</v>
      </c>
      <c r="C7" s="31">
        <v>198.04614676507884</v>
      </c>
      <c r="D7" s="32">
        <v>198.83712725685837</v>
      </c>
      <c r="E7" s="31">
        <v>199.62810774863792</v>
      </c>
      <c r="F7" s="31">
        <v>200.41908824041744</v>
      </c>
    </row>
    <row r="8" spans="1:6" x14ac:dyDescent="0.25">
      <c r="A8" s="30">
        <v>0.094429</v>
      </c>
      <c r="B8" s="31">
        <v>172.69411469196282</v>
      </c>
      <c r="C8" s="31">
        <v>173.37271322313313</v>
      </c>
      <c r="D8" s="31">
        <v>174.0513117543034</v>
      </c>
      <c r="E8" s="31">
        <v>174.72991028547375</v>
      </c>
      <c r="F8" s="31">
        <v>175.40850881664406</v>
      </c>
    </row>
    <row r="9" spans="1:6" x14ac:dyDescent="0.25">
      <c r="A9" s="30">
        <v>0.104429</v>
      </c>
      <c r="B9" s="31">
        <v>152.82577447619212</v>
      </c>
      <c r="C9" s="31">
        <v>153.41478254510335</v>
      </c>
      <c r="D9" s="31">
        <v>154.00379061401452</v>
      </c>
      <c r="E9" s="31">
        <v>154.59279868292575</v>
      </c>
      <c r="F9" s="31">
        <v>155.18180675183692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23077000000</v>
      </c>
      <c r="C5" s="18">
        <v>20809000000</v>
      </c>
      <c r="D5" s="18">
        <v>21509000000</v>
      </c>
      <c r="E5" s="18">
        <v>21114000000</v>
      </c>
      <c r="F5" s="8" t="s">
        <v>84</v>
      </c>
    </row>
    <row r="6" spans="1:6" x14ac:dyDescent="0.25">
      <c r="A6" t="s">
        <v>44</v>
      </c>
      <c r="B6" s="18">
        <v>8486000000</v>
      </c>
      <c r="C6" s="18">
        <v>7242000000</v>
      </c>
      <c r="D6" s="18">
        <v>6736000000</v>
      </c>
      <c r="E6" s="18">
        <v>7473000000</v>
      </c>
      <c r="F6" s="8" t="s">
        <v>85</v>
      </c>
    </row>
    <row r="7" spans="1:6" x14ac:dyDescent="0.25">
      <c r="A7" t="s">
        <v>86</v>
      </c>
      <c r="B7" s="18">
        <v>381000000</v>
      </c>
      <c r="C7" s="18">
        <v>259000000</v>
      </c>
      <c r="D7" s="18">
        <v>217000000</v>
      </c>
      <c r="E7" s="18">
        <v>651000000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4942000000</v>
      </c>
      <c r="C9" s="18">
        <v>587000000</v>
      </c>
      <c r="D9" s="18">
        <v>-2262000000</v>
      </c>
      <c r="E9" s="18">
        <v>-1196000000</v>
      </c>
      <c r="F9" s="8" t="s">
        <v>90</v>
      </c>
    </row>
    <row r="10" spans="1:6" x14ac:dyDescent="0.25">
      <c r="A10" t="s">
        <v>91</v>
      </c>
      <c r="B10" s="18">
        <v>57101000000</v>
      </c>
      <c r="C10" s="18">
        <v>61673000000</v>
      </c>
      <c r="D10" s="18">
        <v>72737000000</v>
      </c>
      <c r="E10" s="18">
        <v>58713000000</v>
      </c>
      <c r="F10" s="8" t="s">
        <v>92</v>
      </c>
    </row>
    <row r="11" spans="1:6" x14ac:dyDescent="0.25">
      <c r="A11" t="s">
        <v>93</v>
      </c>
      <c r="B11" s="18">
        <v>39713000000</v>
      </c>
      <c r="C11" s="18">
        <v>46251000000</v>
      </c>
      <c r="D11" s="18">
        <v>50725000000</v>
      </c>
      <c r="E11" s="18">
        <v>34363000000</v>
      </c>
      <c r="F11" s="8" t="s">
        <v>94</v>
      </c>
    </row>
    <row r="12" spans="1:6" x14ac:dyDescent="0.25">
      <c r="A12" t="s">
        <v>32</v>
      </c>
      <c r="B12" s="34">
        <v>396000000</v>
      </c>
      <c r="C12" s="34">
        <v>400000000</v>
      </c>
      <c r="D12" s="34">
        <v>401000000</v>
      </c>
      <c r="E12" s="34">
        <v>412000000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