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<sst xmlns="http://schemas.openxmlformats.org/spreadsheetml/2006/main" count="70" uniqueCount="67">
  <si>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The PNC Financial Services Group, Inc. (PNC)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</si>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</sst>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0.93702</v>
      </c>
    </row>
    <row r="9" spans="1:2" x14ac:dyDescent="0.25">
      <c r="A9" t="s">
        <v>8</v>
      </c>
      <c r="B9" s="8">
        <f>B6+B8*B7</f>
        <v>0.088575946</v>
      </c>
    </row>
    <row r="10" spans="1:2" x14ac:dyDescent="0.25">
      <c r="A10" t="s">
        <v>9</v>
      </c>
      <c r="B10" s="8">
        <f>MEDIAN('Source data'!B9:E9)</f>
        <v>0.11198496963341635</v>
      </c>
    </row>
    <row r="11" spans="1:2" x14ac:dyDescent="0.25">
      <c r="A11" t="s">
        <v>10</v>
      </c>
      <c r="B11" s="8">
        <f>IFERROR(MIN(MAX(MEDIAN('Source data'!B10:E10),0),1),0)</f>
        <v>0.5256550218340611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60585000000</v>
      </c>
    </row>
    <row r="15" spans="1:2" x14ac:dyDescent="0.25">
      <c r="A15" t="s">
        <v>14</v>
      </c>
      <c r="B15" s="10">
        <f>'Source data'!B8</f>
        <v>396000000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0.05311950797567621</v>
      </c>
    </row>
    <row r="18" spans="1:2" x14ac:dyDescent="0.25">
      <c r="A18" t="s">
        <v>17</v>
      </c>
      <c r="B18" s="8">
        <f>MIN(B10,B12)</f>
        <v>0.11198496963341635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0.11198496963341635</v>
      </c>
      <c r="C22" s="8">
        <f>$B$10+($B$18-$B$10)*C21/$B$16</f>
        <v>0.11198496963341635</v>
      </c>
      <c r="D22" s="8">
        <f>$B$10+($B$18-$B$10)*D21/$B$16</f>
        <v>0.11198496963341635</v>
      </c>
      <c r="E22" s="8">
        <f>$B$10+($B$18-$B$10)*E21/$B$16</f>
        <v>0.11198496963341635</v>
      </c>
      <c r="F22" s="8">
        <f>$B$10+($B$18-$B$10)*F21/$B$16</f>
        <v>0.11198496963341635</v>
      </c>
      <c r="G22" s="8">
        <f>$B$10+($B$18-$B$10)*G21/$B$16</f>
        <v>0.11198496963341635</v>
      </c>
      <c r="H22" s="8">
        <f>$B$10+($B$18-$B$10)*H21/$B$16</f>
        <v>0.11198496963341635</v>
      </c>
      <c r="I22" s="8">
        <f>$B$10+($B$18-$B$10)*I21/$B$16</f>
        <v>0.11198496963341635</v>
      </c>
      <c r="J22" s="8">
        <f>$B$10+($B$18-$B$10)*J21/$B$16</f>
        <v>0.11198496963341635</v>
      </c>
      <c r="K22" s="8">
        <f>$B$10+($B$18-$B$10)*K21/$B$16</f>
        <v>0.11198496963341635</v>
      </c>
    </row>
    <row r="23" spans="1:11" x14ac:dyDescent="0.25">
      <c r="A23" t="s">
        <v>31</v>
      </c>
      <c r="B23" s="8">
        <f>$B$17+($B$13-$B$17)*B21/$B$16</f>
        <v>0.050307557178108586</v>
      </c>
      <c r="C23" s="8">
        <f>$B$17+($B$13-$B$17)*C21/$B$16</f>
        <v>0.04749560638054097</v>
      </c>
      <c r="D23" s="8">
        <f>$B$17+($B$13-$B$17)*D21/$B$16</f>
        <v>0.044683655582973346</v>
      </c>
      <c r="E23" s="8">
        <f>$B$17+($B$13-$B$17)*E21/$B$16</f>
        <v>0.04187170478540572</v>
      </c>
      <c r="F23" s="8">
        <f>$B$17+($B$13-$B$17)*F21/$B$16</f>
        <v>0.039059753987838106</v>
      </c>
      <c r="G23" s="8">
        <f>$B$17+($B$13-$B$17)*G21/$B$16</f>
        <v>0.03624780319027049</v>
      </c>
      <c r="H23" s="8">
        <f>$B$17+($B$13-$B$17)*H21/$B$16</f>
        <v>0.033435852392702865</v>
      </c>
      <c r="I23" s="8">
        <f>$B$17+($B$13-$B$17)*I21/$B$16</f>
        <v>0.03062390159513524</v>
      </c>
      <c r="J23" s="8">
        <f>$B$17+($B$13-$B$17)*J21/$B$16</f>
        <v>0.02781195079756762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60585000000</v>
      </c>
      <c r="C24" s="9">
        <f>B24*(1+B23)</f>
        <v>63632883351.6357</v>
      </c>
      <c r="D24" s="9">
        <f>C24*(1+C23)</f>
        <v>66655165732.163864</v>
      </c>
      <c r="E24" s="9">
        <f>D24*(1+D23)</f>
        <v>69633562200.56587</v>
      </c>
      <c r="F24" s="9">
        <f>E24*(1+E23)</f>
        <v>72549238160.18414</v>
      </c>
      <c r="G24" s="9">
        <f>F24*(1+F23)</f>
        <v>75382993554.726</v>
      </c>
      <c r="H24" s="9">
        <f>G24*(1+G23)</f>
        <v>78115461468.99113</v>
      </c>
      <c r="I24" s="9">
        <f>H24*(1+H23)</f>
        <v>80727318508.25618</v>
      </c>
      <c r="J24" s="9">
        <f>I24*(1+I23)</f>
        <v>83199503966.29214</v>
      </c>
      <c r="K24" s="9">
        <f>J24*(1+J23)</f>
        <v>85513444476.9847</v>
      </c>
    </row>
    <row r="25" spans="1:11" x14ac:dyDescent="0.25">
      <c r="A25" t="s">
        <v>33</v>
      </c>
      <c r="B25" s="9">
        <f>(B22-$B$9)*B24</f>
        <v>1418235696.8305295</v>
      </c>
      <c r="C25" s="9">
        <f>(C22-$B$9)*C24</f>
        <v>1489583670.2408657</v>
      </c>
      <c r="D25" s="9">
        <f>(D22-$B$9)*D24</f>
        <v>1560332349.9135075</v>
      </c>
      <c r="E25" s="9">
        <f>(E22-$B$9)*E24</f>
        <v>1630053703.2320137</v>
      </c>
      <c r="F25" s="9">
        <f>(F22-$B$9)*F24</f>
        <v>1698306830.6781018</v>
      </c>
      <c r="G25" s="9">
        <f>(G22-$B$9)*G24</f>
        <v>1764642277.680253</v>
      </c>
      <c r="H25" s="9">
        <f>(H22-$B$9)*H24</f>
        <v>1828606683.6628375</v>
      </c>
      <c r="I25" s="9">
        <f>(I22-$B$9)*I24</f>
        <v>1889747706.8220978</v>
      </c>
      <c r="J25" s="9">
        <f>(J22-$B$9)*J24</f>
        <v>1947619154.6354501</v>
      </c>
      <c r="K25" s="9">
        <f>(K22-$B$9)*K24</f>
        <v>2001786242.7365713</v>
      </c>
    </row>
    <row r="26" spans="1:11" x14ac:dyDescent="0.25">
      <c r="A26" t="s">
        <v>34</v>
      </c>
      <c r="B26" s="14">
        <f>1/(1+$B$9)^B21</f>
        <v>0.9186313584040925</v>
      </c>
      <c r="C26" s="14">
        <f>1/(1+$B$9)^C21</f>
        <v>0.8438835726433482</v>
      </c>
      <c r="D26" s="14">
        <f>1/(1+$B$9)^D21</f>
        <v>0.7752179126722577</v>
      </c>
      <c r="E26" s="14">
        <f>1/(1+$B$9)^E21</f>
        <v>0.7121394841773011</v>
      </c>
      <c r="F26" s="14">
        <f>1/(1+$B$9)^F21</f>
        <v>0.6541936617229839</v>
      </c>
      <c r="G26" s="14">
        <f>1/(1+$B$9)^G21</f>
        <v>0.6009628121279321</v>
      </c>
      <c r="H26" s="14">
        <f>1/(1+$B$9)^H21</f>
        <v>0.5520632844554256</v>
      </c>
      <c r="I26" s="14">
        <f>1/(1+$B$9)^I21</f>
        <v>0.5071426449243126</v>
      </c>
      <c r="J26" s="14">
        <f>1/(1+$B$9)^J21</f>
        <v>0.4658771368114657</v>
      </c>
      <c r="K26" s="14">
        <f>1/(1+$B$9)^K21</f>
        <v>0.42796934703852596</v>
      </c>
    </row>
    <row r="27" spans="1:11" x14ac:dyDescent="0.25">
      <c r="A27" s="15" t="s">
        <v>35</v>
      </c>
      <c r="B27" s="16">
        <f>B25*B26</f>
        <v>1302835784.716604</v>
      </c>
      <c r="C27" s="16">
        <f>C25*C26</f>
        <v>1257035189.3940527</v>
      </c>
      <c r="D27" s="16">
        <f>D25*D26</f>
        <v>1209597587.374948</v>
      </c>
      <c r="E27" s="16">
        <f>E25*E26</f>
        <v>1160825603.4009457</v>
      </c>
      <c r="F27" s="16">
        <f>F25*F26</f>
        <v>1111021564.290463</v>
      </c>
      <c r="G27" s="16">
        <f>G25*G26</f>
        <v>1060484385.5945642</v>
      </c>
      <c r="H27" s="16">
        <f>H25*H26</f>
        <v>1009506611.7600496</v>
      </c>
      <c r="I27" s="16">
        <f>I25*I26</f>
        <v>958371650.2774131</v>
      </c>
      <c r="J27" s="16">
        <f>J25*J26</f>
        <v>907351235.3607308</v>
      </c>
      <c r="K27" s="16">
        <f>K25*K26</f>
        <v>856703151.2146747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60585000000</v>
      </c>
    </row>
    <row r="31" spans="1:2" x14ac:dyDescent="0.25">
      <c r="A31" t="s">
        <v>38</v>
      </c>
      <c r="B31" s="9">
        <f>SUM(B27:K27)</f>
        <v>10833732763.384445</v>
      </c>
    </row>
    <row r="32" spans="1:2" x14ac:dyDescent="0.25">
      <c r="A32" t="s">
        <v>39</v>
      </c>
      <c r="B32" s="9">
        <f>K24*(1+K23)</f>
        <v>87651280588.9093</v>
      </c>
    </row>
    <row r="33" spans="1:2" x14ac:dyDescent="0.25">
      <c r="A33" t="s">
        <v>40</v>
      </c>
      <c r="B33" s="9">
        <f>(B18-B9)*B32</f>
        <v>2051830898.8049855</v>
      </c>
    </row>
    <row r="34" spans="1:2" x14ac:dyDescent="0.25">
      <c r="A34" t="s">
        <v>41</v>
      </c>
      <c r="B34" s="9">
        <f>B33/(B9-B13)</f>
        <v>32273698275.83825</v>
      </c>
    </row>
    <row r="35" spans="1:2" x14ac:dyDescent="0.25">
      <c r="A35" t="s">
        <v>42</v>
      </c>
      <c r="B35" s="9">
        <f>B34*K26</f>
        <v>13812153577.628897</v>
      </c>
    </row>
    <row r="36" spans="1:2" x14ac:dyDescent="0.25">
      <c r="A36" s="15" t="s">
        <v>43</v>
      </c>
      <c r="B36" s="16">
        <f>B30+B31+B35</f>
        <v>85230886341.01334</v>
      </c>
    </row>
    <row r="37" spans="1:2" x14ac:dyDescent="0.25">
      <c r="A37" s="15" t="s">
        <v>44</v>
      </c>
      <c r="B37" s="17">
        <f>B36/B15</f>
        <v>215.22951096215488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231.66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215.22951096215488</v>
      </c>
    </row>
    <row r="43" spans="1:2" x14ac:dyDescent="0.25">
      <c r="A43" s="15" t="s">
        <v>48</v>
      </c>
      <c r="B43" s="21">
        <f>B42/B40-1</f>
        <v>-0.07092501527171335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6576000000</v>
      </c>
      <c r="C5" s="9">
        <v>5496000000</v>
      </c>
      <c r="D5" s="9">
        <v>5126000000</v>
      </c>
      <c r="E5" s="9">
        <v>5708000000</v>
      </c>
      <c r="F5" s="6" t="s">
        <v>57</v>
      </c>
    </row>
    <row r="6" spans="1:6" x14ac:dyDescent="0.25">
      <c r="A6" t="s">
        <v>37</v>
      </c>
      <c r="B6" s="9">
        <v>60585000000</v>
      </c>
      <c r="C6" s="9">
        <v>54425000000</v>
      </c>
      <c r="D6" s="9">
        <v>51105000000</v>
      </c>
      <c r="E6" s="9">
        <v>45774000000</v>
      </c>
      <c r="F6" s="6" t="s">
        <v>58</v>
      </c>
    </row>
    <row r="7" spans="1:6" x14ac:dyDescent="0.25">
      <c r="A7" t="s">
        <v>59</v>
      </c>
      <c r="B7" s="9">
        <v>2943000000</v>
      </c>
      <c r="C7" s="9">
        <v>2889000000</v>
      </c>
      <c r="D7" s="9">
        <v>2878000000</v>
      </c>
      <c r="E7" s="9">
        <v>2692000000</v>
      </c>
      <c r="F7" s="6" t="s">
        <v>60</v>
      </c>
    </row>
    <row r="8" spans="1:6" x14ac:dyDescent="0.25">
      <c r="A8" t="s">
        <v>14</v>
      </c>
      <c r="B8" s="10">
        <v>396000000</v>
      </c>
      <c r="C8" s="10">
        <v>400000000</v>
      </c>
      <c r="D8" s="10">
        <v>401000000</v>
      </c>
      <c r="E8" s="10">
        <v>412000000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0.12082682590721176</v>
      </c>
      <c r="C9" s="8">
        <f>IF(AND(ISNUMBER(C5),N(D6)&gt;0),C5/D6,"")</f>
        <v>0.1075432932198415</v>
      </c>
      <c r="D9" s="8">
        <f>IF(AND(ISNUMBER(D5),N(E6)&gt;0),D5/E6,"")</f>
        <v>0.11198496963341635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0.44753649635036497</v>
      </c>
      <c r="C10" s="8">
        <f>IF(AND(ISNUMBER(C9),N(C5)&gt;0,ISNUMBER(C7)),C7/C5,"")</f>
        <v>0.5256550218340611</v>
      </c>
      <c r="D10" s="8">
        <f>IF(AND(ISNUMBER(D9),N(D5)&gt;0,ISNUMBER(D7)),D7/D5,"")</f>
        <v>0.5614514241123684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