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<sst xmlns="http://schemas.openxmlformats.org/spreadsheetml/2006/main" count="113" uniqueCount="100">
  <si>
    <t>Pinnacle Investment Management Group Limited (PNI.AX)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</si>
  <si>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</si>
  <si>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</si>
  <si>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</si>
  <si>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</si>
  <si>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</si>
  <si>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</si>
  <si>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</si>
  <si>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</si>
  <si>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</si>
  <si>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</si>
  <si>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</si>
  <si>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</si>
  <si>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</si>
  <si>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</si>
  <si>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</si>
  <si>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</si>
  <si>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</si>
  <si>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</si>
  <si>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</si>
  <si>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</si>
  <si>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</si>
  <si>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</si>
  <si>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</si>
  <si>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</si>
  <si>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</si>
  <si>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</si>
  <si>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</si>
  <si>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</si>
  <si>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</si>
  <si>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</si>
  <si>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</si>
  <si>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</si>
  <si>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</si>
  <si>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</si>
  <si>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</si>
  <si>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</si>
  <si>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</si>
  <si>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</si>
  <si>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</si>
  <si>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</si>
  <si>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</si>
  <si>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</si>
  <si>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</si>
  <si>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</si>
  <si>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</si>
  <si>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</si>
  <si>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</si>
  <si>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</si>
  <si>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</si>
  <si>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</si>
  <si>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</si>
  <si>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</si>
  <si>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</si>
  <si>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</si>
  <si>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</si>
  <si>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</si>
  <si>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</si>
  <si>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</si>
  <si>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</si>
  <si>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</si>
  <si>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</si>
  <si>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</si>
  <si>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</si>
  <si>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</si>
  <si>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</si>
  <si>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</si>
  <si>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</si>
  <si>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</si>
  <si>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</si>
  <si>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</si>
  <si>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</si>
  <si>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</si>
  <si>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</si>
  <si>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</si>
  <si>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</si>
  <si>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</si>
  <si>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</si>
  <si>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</si>
  <si>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</si>
  <si>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</si>
  <si>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</si>
  <si>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</si>
  <si>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</si>
  <si>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</si>
  <si>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derived</t>
  </si>
  <si>
    <t>Depreciation &amp; amortisation</t>
  </si>
  <si>
    <t>reconciledDepreciation</t>
  </si>
  <si>
    <t>Capital expenditure</t>
  </si>
  <si>
    <t>capitalExpenditure</t>
  </si>
  <si>
    <t>Change in working 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</si>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</sst>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0.2320919663220875</v>
      </c>
    </row>
    <row r="7" spans="1:2" x14ac:dyDescent="0.25">
      <c r="A7" t="s">
        <v>5</v>
      </c>
      <c r="B7" s="6">
        <v>1.9529809577019357</v>
      </c>
    </row>
    <row r="8" spans="1:2" x14ac:dyDescent="0.25">
      <c r="A8" t="s">
        <v>6</v>
      </c>
      <c r="B8" s="6">
        <v>0.026515476292549085</v>
      </c>
    </row>
    <row r="9" spans="1:2" x14ac:dyDescent="0.25">
      <c r="A9" t="s">
        <v>7</v>
      </c>
      <c r="B9" s="6">
        <v>0.033671471627388594</v>
      </c>
    </row>
    <row r="10" spans="1:2" x14ac:dyDescent="0.25">
      <c r="A10" t="s">
        <v>8</v>
      </c>
      <c r="B10" s="6">
        <v>0.018201410339811163</v>
      </c>
    </row>
    <row r="11" spans="1:2" x14ac:dyDescent="0.25">
      <c r="A11" t="s">
        <v>9</v>
      </c>
      <c r="B11" s="6">
        <v>-0.12084347120843471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18.548400512045177</v>
      </c>
    </row>
    <row r="14" spans="1:3" x14ac:dyDescent="0.25">
      <c r="A14" t="s">
        <v>12</v>
      </c>
      <c r="B14" s="6">
        <v>0.13689817184477845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1.2050200000000002</v>
      </c>
      <c r="C19" s="8" t="s">
        <v>19</v>
      </c>
    </row>
    <row r="20" spans="1:2" x14ac:dyDescent="0.25">
      <c r="A20" t="s">
        <v>20</v>
      </c>
      <c r="B20" s="10">
        <f>B17+B19*B18</f>
        <v>0.1257812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3340052224</v>
      </c>
    </row>
    <row r="23" spans="1:2" x14ac:dyDescent="0.25">
      <c r="A23" t="s">
        <v>24</v>
      </c>
      <c r="B23" s="11">
        <v>270385000</v>
      </c>
    </row>
    <row r="24" spans="1:2" x14ac:dyDescent="0.25">
      <c r="A24" t="s">
        <v>25</v>
      </c>
      <c r="B24" s="10">
        <f>B22/(B22+B23)</f>
        <v>0.9251101782901405</v>
      </c>
    </row>
    <row r="25" spans="1:2" x14ac:dyDescent="0.25">
      <c r="A25" t="s">
        <v>26</v>
      </c>
      <c r="B25" s="10">
        <f>1-B24</f>
        <v>0.07488982170985947</v>
      </c>
    </row>
    <row r="26" spans="1:2" x14ac:dyDescent="0.25">
      <c r="A26" t="s">
        <v>27</v>
      </c>
      <c r="B26" s="12">
        <f>B24*B20+B25*B21*(1-B8)</f>
        <v>0.12026037868524955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86649000</v>
      </c>
      <c r="C29" s="8" t="s">
        <v>30</v>
      </c>
    </row>
    <row r="30" spans="1:2" x14ac:dyDescent="0.25">
      <c r="A30" t="s">
        <v>31</v>
      </c>
      <c r="B30" s="11">
        <v>180935000</v>
      </c>
    </row>
    <row r="31" spans="1:2" x14ac:dyDescent="0.25">
      <c r="A31" t="s">
        <v>32</v>
      </c>
      <c r="B31" s="13">
        <v>226263764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0.2320919663220875</v>
      </c>
      <c r="C5" s="10">
        <f>Assumptions!B6</f>
        <v>0.2320919663220875</v>
      </c>
      <c r="D5" s="10">
        <f>Assumptions!B6</f>
        <v>0.2320919663220875</v>
      </c>
      <c r="E5" s="10">
        <f>Assumptions!B6</f>
        <v>0.2320919663220875</v>
      </c>
      <c r="F5" s="10">
        <f>Assumptions!B6</f>
        <v>0.2320919663220875</v>
      </c>
    </row>
    <row r="6" spans="1:6" x14ac:dyDescent="0.25">
      <c r="A6" t="s">
        <v>43</v>
      </c>
      <c r="B6" s="18">
        <f>Assumptions!B29*(1+B5)</f>
        <v>106759536.78984256</v>
      </c>
      <c r="C6" s="18">
        <f>B6*(1+C5)</f>
        <v>131537567.60703236</v>
      </c>
      <c r="D6" s="18">
        <f>C6*(1+D5)</f>
        <v>162066380.31817302</v>
      </c>
      <c r="E6" s="18">
        <f>D6*(1+E5)</f>
        <v>199680685.20092106</v>
      </c>
      <c r="F6" s="18">
        <f>E6*(1+F5)</f>
        <v>246024968.06574458</v>
      </c>
    </row>
    <row r="7" spans="1:6" x14ac:dyDescent="0.25">
      <c r="A7" t="s">
        <v>5</v>
      </c>
      <c r="B7" s="10">
        <f>Assumptions!B7</f>
        <v>1.9529809577019357</v>
      </c>
      <c r="C7" s="10">
        <f>Assumptions!B7</f>
        <v>1.9529809577019357</v>
      </c>
      <c r="D7" s="10">
        <f>Assumptions!B7</f>
        <v>1.9529809577019357</v>
      </c>
      <c r="E7" s="10">
        <f>Assumptions!B7</f>
        <v>1.9529809577019357</v>
      </c>
      <c r="F7" s="10">
        <f>Assumptions!B7</f>
        <v>1.9529809577019357</v>
      </c>
    </row>
    <row r="8" spans="1:6" x14ac:dyDescent="0.25">
      <c r="A8" t="s">
        <v>44</v>
      </c>
      <c r="B8" s="18">
        <f>B6*B7</f>
        <v>208499342.40364176</v>
      </c>
      <c r="C8" s="18">
        <f>C6*C7</f>
        <v>256890364.75896516</v>
      </c>
      <c r="D8" s="18">
        <f>D6*D7</f>
        <v>316512554.6450717</v>
      </c>
      <c r="E8" s="18">
        <f>E6*E7</f>
        <v>389972575.81827354</v>
      </c>
      <c r="F8" s="18">
        <f>F6*F7</f>
        <v>480482077.751626</v>
      </c>
    </row>
    <row r="9" spans="1:6" x14ac:dyDescent="0.25">
      <c r="A9" t="s">
        <v>45</v>
      </c>
      <c r="B9" s="18">
        <f>B8*(1-Assumptions!B8)</f>
        <v>202970883.0331259</v>
      </c>
      <c r="C9" s="18">
        <f>C8*(1-Assumptions!B8)</f>
        <v>250078794.38241452</v>
      </c>
      <c r="D9" s="18">
        <f>D8*(1-Assumptions!B8)</f>
        <v>308120073.5060861</v>
      </c>
      <c r="E9" s="18">
        <f>E8*(1-Assumptions!B8)</f>
        <v>379632267.22941977</v>
      </c>
      <c r="F9" s="18">
        <f>F8*(1-Assumptions!B8)</f>
        <v>467741866.610008</v>
      </c>
    </row>
    <row r="10" spans="1:6" x14ac:dyDescent="0.25">
      <c r="A10" t="s">
        <v>46</v>
      </c>
      <c r="B10" s="18">
        <f>B6*Assumptions!B9</f>
        <v>3594750.7139723324</v>
      </c>
      <c r="C10" s="18">
        <f>C6*Assumptions!B9</f>
        <v>4429063.475615899</v>
      </c>
      <c r="D10" s="18">
        <f>D6*Assumptions!B9</f>
        <v>5457013.526636932</v>
      </c>
      <c r="E10" s="18">
        <f>E6*Assumptions!B9</f>
        <v>6723542.526280327</v>
      </c>
      <c r="F10" s="18">
        <f>F6*Assumptions!B9</f>
        <v>8284022.7318549035</v>
      </c>
    </row>
    <row r="11" spans="1:6" x14ac:dyDescent="0.25">
      <c r="A11" t="s">
        <v>47</v>
      </c>
      <c r="B11" s="18">
        <f>-B6*Assumptions!B10</f>
        <v>-1943174.1368000905</v>
      </c>
      <c r="C11" s="18">
        <f>-C6*Assumptions!B10</f>
        <v>-2394169.243116249</v>
      </c>
      <c r="D11" s="18">
        <f>-D6*Assumptions!B10</f>
        <v>-2949836.6904589627</v>
      </c>
      <c r="E11" s="18">
        <f>-E6*Assumptions!B10</f>
        <v>-3634470.0882766224</v>
      </c>
      <c r="F11" s="18">
        <f>-F6*Assumptions!B10</f>
        <v>-4478001.397603555</v>
      </c>
    </row>
    <row r="12" spans="1:6" x14ac:dyDescent="0.25">
      <c r="A12" t="s">
        <v>48</v>
      </c>
      <c r="B12" s="18">
        <f>-(B6-Assumptions!B29)*Assumptions!B11</f>
        <v>2430227.0735495063</v>
      </c>
      <c r="C12" s="18">
        <f>-(C6-B6)*Assumptions!B11</f>
        <v>2994263.253658783</v>
      </c>
      <c r="D12" s="18">
        <f>-(D6-C6)*Assumptions!B11</f>
        <v>3689207.699886422</v>
      </c>
      <c r="E12" s="18">
        <f>-(E6-D6)*Assumptions!B11</f>
        <v>4545443.169123648</v>
      </c>
      <c r="F12" s="18">
        <f>-(F6-E6)*Assumptions!B11</f>
        <v>5600404.012050855</v>
      </c>
    </row>
    <row r="13" spans="1:6" x14ac:dyDescent="0.25">
      <c r="A13" s="19" t="s">
        <v>49</v>
      </c>
      <c r="B13" s="20">
        <f>B9+B10+B11+B12</f>
        <v>207052686.68384767</v>
      </c>
      <c r="C13" s="20">
        <f>C9+C10+C11+C12</f>
        <v>255107951.86857292</v>
      </c>
      <c r="D13" s="20">
        <f>D9+D10+D11+D12</f>
        <v>314316458.04215056</v>
      </c>
      <c r="E13" s="20">
        <f>E9+E10+E11+E12</f>
        <v>387266782.83654714</v>
      </c>
      <c r="F13" s="20">
        <f>F9+F10+F11+F12</f>
        <v>477148291.9563102</v>
      </c>
    </row>
    <row r="14" spans="1:6" x14ac:dyDescent="0.25">
      <c r="A14" t="s">
        <v>50</v>
      </c>
      <c r="B14" s="21">
        <f>1/(1+Assumptions!$B$26)^(1-0.5*Assumptions!$B$32)</f>
        <v>0.944801364736953</v>
      </c>
      <c r="C14" s="21">
        <f>1/(1+Assumptions!$B$26)^(2-0.5*Assumptions!$B$32)</f>
        <v>0.8433765780824835</v>
      </c>
      <c r="D14" s="21">
        <f>1/(1+Assumptions!$B$26)^(3-0.5*Assumptions!$B$32)</f>
        <v>0.7528397809376066</v>
      </c>
      <c r="E14" s="21">
        <f>1/(1+Assumptions!$B$26)^(4-0.5*Assumptions!$B$32)</f>
        <v>0.6720221434780617</v>
      </c>
      <c r="F14" s="21">
        <f>1/(1+Assumptions!$B$26)^(5-0.5*Assumptions!$B$32)</f>
        <v>0.5998803102067705</v>
      </c>
    </row>
    <row r="15" spans="1:6" x14ac:dyDescent="0.25">
      <c r="A15" s="19" t="s">
        <v>51</v>
      </c>
      <c r="B15" s="20">
        <f>B13*B14</f>
        <v>195623660.951352</v>
      </c>
      <c r="C15" s="20">
        <f>C13*C14</f>
        <v>215152071.48854792</v>
      </c>
      <c r="D15" s="20">
        <f>D13*D14</f>
        <v>236629933.41753703</v>
      </c>
      <c r="E15" s="20">
        <f>E13*E14</f>
        <v>260251853.49966943</v>
      </c>
      <c r="F15" s="20">
        <f>F13*F14</f>
        <v>286231865.3933821</v>
      </c>
    </row>
    <row r="17" spans="1:2" x14ac:dyDescent="0.25">
      <c r="A17" s="22" t="s">
        <v>52</v>
      </c>
      <c r="B17" s="23">
        <f>SUM(B15:F15)</f>
        <v>1193889384.7504883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477148291.9563102</v>
      </c>
    </row>
    <row r="5" spans="1:2" x14ac:dyDescent="0.25">
      <c r="A5" t="s">
        <v>56</v>
      </c>
      <c r="B5" s="18">
        <f>IF(Assumptions!$B$33=0,B4,B4-Forecast!F11-Forecast!F10-Forecast!F12)</f>
        <v>467741866.610008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0.18261748614397985</v>
      </c>
    </row>
    <row r="7" spans="1:2" x14ac:dyDescent="0.25">
      <c r="A7" t="s">
        <v>58</v>
      </c>
      <c r="B7" s="18">
        <f>-MAX(Forecast!F9,0)*B6</f>
        <v>-85417843.8446124</v>
      </c>
    </row>
    <row r="8" spans="1:2" x14ac:dyDescent="0.25">
      <c r="A8" t="s">
        <v>59</v>
      </c>
      <c r="B8" s="18">
        <f>IF(OR(Assumptions!$B$33=0,Assumptions!B12&lt;=0),B5,MAX(B5+B7,0))</f>
        <v>382324022.7653956</v>
      </c>
    </row>
    <row r="9" spans="1:2" x14ac:dyDescent="0.25">
      <c r="A9" t="s">
        <v>60</v>
      </c>
      <c r="B9" s="18">
        <f>B8*(1+Assumptions!B12)/(Assumptions!B26-Assumptions!B12)</f>
        <v>4113799763.796349</v>
      </c>
    </row>
    <row r="10" spans="1:2" x14ac:dyDescent="0.25">
      <c r="A10" t="s">
        <v>61</v>
      </c>
      <c r="B10" s="18">
        <f>B9/(1+Assumptions!B26)^(5-0.5*Assumptions!B32)</f>
        <v>2467787478.434693</v>
      </c>
    </row>
    <row r="11" spans="1:2" x14ac:dyDescent="0.25">
      <c r="A11" t="s">
        <v>62</v>
      </c>
      <c r="B11" s="18">
        <f>Forecast!B17+B10</f>
        <v>3661676863.185181</v>
      </c>
    </row>
    <row r="12" spans="1:2" x14ac:dyDescent="0.25">
      <c r="A12" t="s">
        <v>63</v>
      </c>
      <c r="B12" s="18">
        <f>-Assumptions!B30</f>
        <v>-180935000</v>
      </c>
    </row>
    <row r="13" spans="1:2" x14ac:dyDescent="0.25">
      <c r="A13" t="s">
        <v>64</v>
      </c>
      <c r="B13" s="18">
        <f>B11+B12</f>
        <v>3480741863.185181</v>
      </c>
    </row>
    <row r="14" spans="1:2" x14ac:dyDescent="0.25">
      <c r="A14" s="19" t="s">
        <v>65</v>
      </c>
      <c r="B14" s="24">
        <f>B13/Assumptions!B31</f>
        <v>15.383558558608533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488766100.48348093</v>
      </c>
    </row>
    <row r="18" spans="1:2" x14ac:dyDescent="0.25">
      <c r="A18" t="s">
        <v>60</v>
      </c>
      <c r="B18" s="18">
        <f>B17*Assumptions!B13</f>
        <v>9065829388.478123</v>
      </c>
    </row>
    <row r="19" spans="1:2" x14ac:dyDescent="0.25">
      <c r="A19" t="s">
        <v>61</v>
      </c>
      <c r="B19" s="18">
        <f>B18/(1+Assumptions!B26)^(5-0.5*Assumptions!B32)</f>
        <v>5438412545.841912</v>
      </c>
    </row>
    <row r="20" spans="1:2" x14ac:dyDescent="0.25">
      <c r="A20" t="s">
        <v>62</v>
      </c>
      <c r="B20" s="18">
        <f>Forecast!B17+B19</f>
        <v>6632301930.592401</v>
      </c>
    </row>
    <row r="21" spans="1:2" x14ac:dyDescent="0.25">
      <c r="A21" t="s">
        <v>63</v>
      </c>
      <c r="B21" s="18">
        <f>-Assumptions!B30</f>
        <v>-180935000</v>
      </c>
    </row>
    <row r="22" spans="1:2" x14ac:dyDescent="0.25">
      <c r="A22" t="s">
        <v>64</v>
      </c>
      <c r="B22" s="18">
        <f>B20+B21</f>
        <v>6451366930.592401</v>
      </c>
    </row>
    <row r="23" spans="1:2" x14ac:dyDescent="0.25">
      <c r="A23" s="19" t="s">
        <v>65</v>
      </c>
      <c r="B23" s="25">
        <f>B22/Assumptions!B31</f>
        <v>28.512594401074317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13.86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15.383558558608533</v>
      </c>
    </row>
    <row r="29" spans="1:2" x14ac:dyDescent="0.25">
      <c r="A29" s="19" t="s">
        <v>73</v>
      </c>
      <c r="B29" s="12">
        <f>B28/B26-1</f>
        <v>0.10992485992846568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0.10026</v>
      </c>
      <c r="B5" s="31">
        <v>18.996101318083657</v>
      </c>
      <c r="C5" s="31">
        <v>19.334565824506733</v>
      </c>
      <c r="D5" s="31">
        <v>19.711476675571078</v>
      </c>
      <c r="E5" s="31">
        <v>20.13504188678508</v>
      </c>
      <c r="F5" s="31">
        <v>20.615984954965242</v>
      </c>
    </row>
    <row r="6" spans="1:6" x14ac:dyDescent="0.25">
      <c r="A6" s="30">
        <v>0.11026</v>
      </c>
      <c r="B6" s="31">
        <v>16.856077773962983</v>
      </c>
      <c r="C6" s="31">
        <v>17.06544473044613</v>
      </c>
      <c r="D6" s="31">
        <v>17.293836935821304</v>
      </c>
      <c r="E6" s="31">
        <v>17.544810068301583</v>
      </c>
      <c r="F6" s="31">
        <v>17.822864711285522</v>
      </c>
    </row>
    <row r="7" spans="1:6" x14ac:dyDescent="0.25">
      <c r="A7" s="30">
        <v>0.12026</v>
      </c>
      <c r="B7" s="31">
        <v>15.12465046233698</v>
      </c>
      <c r="C7" s="31">
        <v>15.24993811718892</v>
      </c>
      <c r="D7" s="32">
        <v>15.383623303750387</v>
      </c>
      <c r="E7" s="31">
        <v>15.527101579030516</v>
      </c>
      <c r="F7" s="31">
        <v>15.68209586504172</v>
      </c>
    </row>
    <row r="8" spans="1:6" x14ac:dyDescent="0.25">
      <c r="A8" s="30">
        <v>0.13026</v>
      </c>
      <c r="B8" s="31">
        <v>13.695426136079512</v>
      </c>
      <c r="C8" s="31">
        <v>13.764634944220017</v>
      </c>
      <c r="D8" s="31">
        <v>13.836284528005276</v>
      </c>
      <c r="E8" s="31">
        <v>13.91074005434804</v>
      </c>
      <c r="F8" s="31">
        <v>13.988443357579206</v>
      </c>
    </row>
    <row r="9" spans="1:6" x14ac:dyDescent="0.25">
      <c r="A9" s="30">
        <v>0.14026</v>
      </c>
      <c r="B9" s="31">
        <v>12.520357386321066</v>
      </c>
      <c r="C9" s="31">
        <v>12.56118085502192</v>
      </c>
      <c r="D9" s="31">
        <v>12.602004323722772</v>
      </c>
      <c r="E9" s="31">
        <v>12.642827792423626</v>
      </c>
      <c r="F9" s="31">
        <v>12.68365126112448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86649000</v>
      </c>
      <c r="C5" s="18">
        <v>68543000</v>
      </c>
      <c r="D5" s="18">
        <v>47560000</v>
      </c>
      <c r="E5" s="18">
        <v>46327000</v>
      </c>
      <c r="F5" s="8" t="s">
        <v>84</v>
      </c>
    </row>
    <row r="6" spans="1:6" x14ac:dyDescent="0.25">
      <c r="A6" t="s">
        <v>44</v>
      </c>
      <c r="B6" s="18">
        <v>186608000</v>
      </c>
      <c r="C6" s="18">
        <v>144481000</v>
      </c>
      <c r="D6" s="18">
        <v>90351000</v>
      </c>
      <c r="E6" s="18">
        <v>76472000</v>
      </c>
      <c r="F6" s="8" t="s">
        <v>85</v>
      </c>
    </row>
    <row r="7" spans="1:6" x14ac:dyDescent="0.25">
      <c r="A7" t="s">
        <v>86</v>
      </c>
      <c r="B7" s="18">
        <v>3219000</v>
      </c>
      <c r="C7" s="18">
        <v>2305000</v>
      </c>
      <c r="D7" s="18">
        <v>1441000</v>
      </c>
      <c r="E7" s="18">
        <v>1557000</v>
      </c>
      <c r="F7" s="8" t="s">
        <v>87</v>
      </c>
    </row>
    <row r="8" spans="1:6" x14ac:dyDescent="0.25">
      <c r="A8" t="s">
        <v>88</v>
      </c>
      <c r="B8" s="18">
        <v>5814000</v>
      </c>
      <c r="C8" s="18">
        <v>326000</v>
      </c>
      <c r="D8" s="18">
        <v>36000</v>
      </c>
      <c r="E8" s="18">
        <v>9000</v>
      </c>
      <c r="F8" s="8" t="s">
        <v>89</v>
      </c>
    </row>
    <row r="9" spans="1:6" x14ac:dyDescent="0.25">
      <c r="A9" t="s">
        <v>90</v>
      </c>
      <c r="B9" s="18">
        <v>-14198000</v>
      </c>
      <c r="C9" s="18">
        <v>5543000</v>
      </c>
      <c r="D9" s="18">
        <v>-149000</v>
      </c>
      <c r="E9" s="18">
        <v>0</v>
      </c>
      <c r="F9" s="8" t="s">
        <v>85</v>
      </c>
    </row>
    <row r="10" spans="1:6" x14ac:dyDescent="0.25">
      <c r="A10" t="s">
        <v>91</v>
      </c>
      <c r="B10" s="18">
        <v>270385000</v>
      </c>
      <c r="C10" s="18">
        <v>110365000</v>
      </c>
      <c r="D10" s="18">
        <v>109428000</v>
      </c>
      <c r="E10" s="18">
        <v>120494000</v>
      </c>
      <c r="F10" s="8" t="s">
        <v>92</v>
      </c>
    </row>
    <row r="11" spans="1:6" x14ac:dyDescent="0.25">
      <c r="A11" t="s">
        <v>93</v>
      </c>
      <c r="B11" s="18">
        <v>89450000</v>
      </c>
      <c r="C11" s="18">
        <v>26557000</v>
      </c>
      <c r="D11" s="18">
        <v>32565000</v>
      </c>
      <c r="E11" s="18">
        <v>27616000</v>
      </c>
      <c r="F11" s="8" t="s">
        <v>94</v>
      </c>
    </row>
    <row r="12" spans="1:6" x14ac:dyDescent="0.25">
      <c r="A12" t="s">
        <v>32</v>
      </c>
      <c r="B12" s="34">
        <v>226263764</v>
      </c>
      <c r="C12" s="34">
        <v>215427885</v>
      </c>
      <c r="D12" s="34">
        <v>198573626</v>
      </c>
      <c r="E12" s="34">
        <v>196082051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22" customHeight="1" spans="1:6" x14ac:dyDescent="0.25">
      <c r="A17" s="35" t="s">
        <v>98</v>
      </c>
      <c r="B17" s="35"/>
      <c r="C17" s="35"/>
      <c r="D17" s="35"/>
      <c r="E17" s="35"/>
      <c r="F17" s="35"/>
    </row>
    <row r="19" spans="1:1" x14ac:dyDescent="0.25">
      <c r="A19" s="36" t="s">
        <v>99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2026-09-19T01:04:54Z</dcterms:modified>
</cp:coreProperties>
</file>