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<sst xmlns="http://schemas.openxmlformats.org/spreadsheetml/2006/main" count="119" uniqueCount="106">
  <si>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Pentair plc (PNR)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</si>
  <si>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</si>
  <si>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</si>
  <si>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</si>
  <si>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</si>
  <si>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</si>
  <si>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</si>
  <si>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</si>
  <si>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</si>
  <si>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</si>
  <si>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</si>
  <si>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</si>
  <si>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</si>
  <si>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</si>
  <si>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</si>
  <si>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</si>
  <si>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</si>
  <si>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</si>
  <si>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</si>
  <si>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</si>
  <si>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</si>
  <si>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</si>
  <si>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</si>
  <si>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</si>
  <si>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13.4x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</si>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</sst>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-0.029131448754789235</v>
      </c>
    </row>
    <row r="7" spans="1:2" x14ac:dyDescent="0.25">
      <c r="A7" t="s">
        <v>4</v>
      </c>
      <c r="B7" s="5">
        <v>0.19175464413486037</v>
      </c>
    </row>
    <row r="8" spans="1:2" x14ac:dyDescent="0.25">
      <c r="A8" t="s">
        <v>5</v>
      </c>
      <c r="B8" s="5">
        <v>0.12978161079426903</v>
      </c>
    </row>
    <row r="9" spans="1:2" x14ac:dyDescent="0.25">
      <c r="A9" t="s">
        <v>6</v>
      </c>
      <c r="B9" s="5">
        <v>0.02752140685569617</v>
      </c>
    </row>
    <row r="10" spans="1:3" x14ac:dyDescent="0.25">
      <c r="A10" t="s">
        <v>7</v>
      </c>
      <c r="B10" s="5">
        <v>0.018471181880191655</v>
      </c>
      <c r="C10" s="6" t="s">
        <v>8</v>
      </c>
    </row>
    <row r="11" spans="1:2" x14ac:dyDescent="0.25">
      <c r="A11" t="s">
        <v>9</v>
      </c>
      <c r="B11" s="5">
        <v>0.23424819230671634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11.675586252145719</v>
      </c>
    </row>
    <row r="14" spans="1:3" x14ac:dyDescent="0.25">
      <c r="A14" t="s">
        <v>12</v>
      </c>
      <c r="B14" s="5">
        <v>0.1353281967404487</v>
      </c>
      <c r="C14" s="6" t="s">
        <v>13</v>
      </c>
    </row>
    <row r="15" spans="1:3" x14ac:dyDescent="0.25">
      <c r="A15" t="s">
        <v>14</v>
      </c>
      <c r="B15" s="5">
        <v>0.014165731199062299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1.02077</v>
      </c>
      <c r="C19" s="6" t="s">
        <v>21</v>
      </c>
    </row>
    <row r="20" spans="1:2" x14ac:dyDescent="0.25">
      <c r="A20" t="s">
        <v>22</v>
      </c>
      <c r="B20" s="9">
        <f>B17+B19*B18</f>
        <v>0.092118571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10578719744</v>
      </c>
    </row>
    <row r="23" spans="1:2" x14ac:dyDescent="0.25">
      <c r="A23" t="s">
        <v>26</v>
      </c>
      <c r="B23" s="10">
        <v>1765900000</v>
      </c>
    </row>
    <row r="24" spans="1:2" x14ac:dyDescent="0.25">
      <c r="A24" t="s">
        <v>27</v>
      </c>
      <c r="B24" s="9">
        <f>B22/(B22+B23)</f>
        <v>0.8569498261898022</v>
      </c>
    </row>
    <row r="25" spans="1:2" x14ac:dyDescent="0.25">
      <c r="A25" t="s">
        <v>28</v>
      </c>
      <c r="B25" s="9">
        <f>1-B24</f>
        <v>0.1430501738101978</v>
      </c>
    </row>
    <row r="26" spans="1:2" x14ac:dyDescent="0.25">
      <c r="A26" t="s">
        <v>29</v>
      </c>
      <c r="B26" s="11">
        <f>B24*B20+B25*B21*(1-B8)</f>
        <v>0.08553122358071487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4176000000</v>
      </c>
      <c r="C29" s="6" t="s">
        <v>32</v>
      </c>
    </row>
    <row r="30" spans="1:2" x14ac:dyDescent="0.25">
      <c r="A30" t="s">
        <v>33</v>
      </c>
      <c r="B30" s="10">
        <v>1664300000</v>
      </c>
    </row>
    <row r="31" spans="1:2" x14ac:dyDescent="0.25">
      <c r="A31" t="s">
        <v>34</v>
      </c>
      <c r="B31" s="12">
        <v>165500000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-0.029131448754789235</v>
      </c>
      <c r="C5" s="5">
        <v>0.18363596089468492</v>
      </c>
      <c r="D5" s="5">
        <v>0.1638064657828493</v>
      </c>
      <c r="E5" s="5">
        <v>0.1439769706710137</v>
      </c>
      <c r="F5" s="5">
        <v>0.12414747555917807</v>
      </c>
      <c r="G5" s="5">
        <v>0.10431798044734246</v>
      </c>
      <c r="H5" s="5">
        <v>0.08448848533550685</v>
      </c>
      <c r="I5" s="5">
        <v>0.06465899022367122</v>
      </c>
      <c r="J5" s="5">
        <v>0.04482949511183562</v>
      </c>
      <c r="K5" s="5">
        <v>0.024999999999999994</v>
      </c>
    </row>
    <row r="6" spans="1:11" x14ac:dyDescent="0.25">
      <c r="A6" t="s">
        <v>50</v>
      </c>
      <c r="B6" s="18">
        <f>Assumptions!B29*(1+B5)</f>
        <v>4054347070</v>
      </c>
      <c r="C6" s="18">
        <f>B6*(1+C5)</f>
        <v>4798870990</v>
      </c>
      <c r="D6" s="18">
        <f>C6*(1+D5)</f>
        <v>5584957086.619743</v>
      </c>
      <c r="E6" s="18">
        <f>D6*(1+E5)</f>
        <v>6389062289.278864</v>
      </c>
      <c r="F6" s="18">
        <f>E6*(1+F5)</f>
        <v>7182248243.683178</v>
      </c>
      <c r="G6" s="18">
        <f>F6*(1+G5)</f>
        <v>7931485875.535679</v>
      </c>
      <c r="H6" s="18">
        <f>G6*(1+H5)</f>
        <v>8601605103.619654</v>
      </c>
      <c r="I6" s="18">
        <f>H6*(1+I5)</f>
        <v>9157776203.922478</v>
      </c>
      <c r="J6" s="18">
        <f>I6*(1+J5)</f>
        <v>9568314687.491505</v>
      </c>
      <c r="K6" s="18">
        <f>J6*(1+K5)</f>
        <v>9807522554.678791</v>
      </c>
    </row>
    <row r="7" spans="1:11" x14ac:dyDescent="0.25">
      <c r="A7" t="s">
        <v>4</v>
      </c>
      <c r="B7" s="9">
        <f>Assumptions!B7</f>
        <v>0.19175464413486037</v>
      </c>
      <c r="C7" s="9">
        <f>Assumptions!B7</f>
        <v>0.19175464413486037</v>
      </c>
      <c r="D7" s="9">
        <f>Assumptions!B7</f>
        <v>0.19175464413486037</v>
      </c>
      <c r="E7" s="9">
        <f>Assumptions!B7</f>
        <v>0.19175464413486037</v>
      </c>
      <c r="F7" s="9">
        <f>Assumptions!B7</f>
        <v>0.19175464413486037</v>
      </c>
      <c r="G7" s="9">
        <f>Assumptions!B7</f>
        <v>0.19175464413486037</v>
      </c>
      <c r="H7" s="9">
        <f>Assumptions!B7</f>
        <v>0.19175464413486037</v>
      </c>
      <c r="I7" s="9">
        <f>Assumptions!B7</f>
        <v>0.19175464413486037</v>
      </c>
      <c r="J7" s="9">
        <f>Assumptions!B7</f>
        <v>0.19175464413486037</v>
      </c>
      <c r="K7" s="9">
        <f>Assumptions!B7</f>
        <v>0.19175464413486037</v>
      </c>
    </row>
    <row r="8" spans="1:11" x14ac:dyDescent="0.25">
      <c r="A8" t="s">
        <v>51</v>
      </c>
      <c r="B8" s="18">
        <f>B6*B7</f>
        <v>777439879.6070639</v>
      </c>
      <c r="C8" s="18">
        <f>C6*C7</f>
        <v>920205798.9365551</v>
      </c>
      <c r="D8" s="18">
        <f>D6*D7</f>
        <v>1070941458.6532354</v>
      </c>
      <c r="E8" s="18">
        <f>E6*E7</f>
        <v>1225132365.6361248</v>
      </c>
      <c r="F8" s="18">
        <f>F6*F7</f>
        <v>1377229456.0556936</v>
      </c>
      <c r="G8" s="18">
        <f>G6*G7</f>
        <v>1520899251.5240157</v>
      </c>
      <c r="H8" s="18">
        <f>H6*H7</f>
        <v>1649397725.6331854</v>
      </c>
      <c r="I8" s="18">
        <f>I6*I7</f>
        <v>1756046117.0498474</v>
      </c>
      <c r="J8" s="18">
        <f>J6*J7</f>
        <v>1834768777.8702912</v>
      </c>
      <c r="K8" s="18">
        <f>K6*K7</f>
        <v>1880637997.3170483</v>
      </c>
    </row>
    <row r="9" spans="1:11" x14ac:dyDescent="0.25">
      <c r="A9" t="s">
        <v>52</v>
      </c>
      <c r="B9" s="18">
        <f>B8*(1-Assumptions!B8)</f>
        <v>676542479.7359565</v>
      </c>
      <c r="C9" s="18">
        <f>C8*(1-Assumptions!B8)</f>
        <v>800780008.0883417</v>
      </c>
      <c r="D9" s="18">
        <f>D8*(1-Assumptions!B8)</f>
        <v>931952951.0828544</v>
      </c>
      <c r="E9" s="18">
        <f>E8*(1-Assumptions!B8)</f>
        <v>1066132713.7876751</v>
      </c>
      <c r="F9" s="18">
        <f>F8*(1-Assumptions!B8)</f>
        <v>1198490398.8154707</v>
      </c>
      <c r="G9" s="18">
        <f>G8*(1-Assumptions!B8)</f>
        <v>1323514496.8054307</v>
      </c>
      <c r="H9" s="18">
        <f>H8*(1-Assumptions!B8)</f>
        <v>1435336231.9601066</v>
      </c>
      <c r="I9" s="18">
        <f>I8*(1-Assumptions!B8)</f>
        <v>1528143623.3500965</v>
      </c>
      <c r="J9" s="18">
        <f>J8*(1-Assumptions!B8)</f>
        <v>1596649530.4432523</v>
      </c>
      <c r="K9" s="18">
        <f>K8*(1-Assumptions!B8)</f>
        <v>1636565768.7043335</v>
      </c>
    </row>
    <row r="10" spans="1:11" x14ac:dyDescent="0.25">
      <c r="A10" t="s">
        <v>53</v>
      </c>
      <c r="B10" s="18">
        <f>B6*Assumptions!B9</f>
        <v>111581335.24766967</v>
      </c>
      <c r="C10" s="18">
        <f>C6*Assumptions!B9</f>
        <v>132071680.96378747</v>
      </c>
      <c r="D10" s="18">
        <f>D6*Assumptions!B9</f>
        <v>153705876.25246552</v>
      </c>
      <c r="E10" s="18">
        <f>E6*Assumptions!B9</f>
        <v>175835982.68962917</v>
      </c>
      <c r="F10" s="18">
        <f>F6*Assumptions!B9</f>
        <v>197665576.05301398</v>
      </c>
      <c r="G10" s="18">
        <f>G6*Assumptions!B9</f>
        <v>218285649.75082496</v>
      </c>
      <c r="H10" s="18">
        <f>H6*Assumptions!B9</f>
        <v>236728273.6687491</v>
      </c>
      <c r="I10" s="18">
        <f>I6*Assumptions!B9</f>
        <v>252034884.80156332</v>
      </c>
      <c r="J10" s="18">
        <f>J6*Assumptions!B9</f>
        <v>263333481.43778703</v>
      </c>
      <c r="K10" s="18">
        <f>K6*Assumptions!B9</f>
        <v>269916818.4737317</v>
      </c>
    </row>
    <row r="11" spans="1:11" x14ac:dyDescent="0.25">
      <c r="A11" t="s">
        <v>54</v>
      </c>
      <c r="B11" s="18">
        <f>-B6*B19</f>
        <v>-74888582.13539213</v>
      </c>
      <c r="C11" s="18">
        <f>-C6*C19</f>
        <v>-103926947.43114662</v>
      </c>
      <c r="D11" s="18">
        <f>-D6*D19</f>
        <v>-138740948.6388669</v>
      </c>
      <c r="E11" s="18">
        <f>-E6*E19</f>
        <v>-179067909.40329865</v>
      </c>
      <c r="F11" s="18">
        <f>-F6*F19</f>
        <v>-224176779.8732507</v>
      </c>
      <c r="G11" s="18">
        <f>-G6*G19</f>
        <v>-272827081.4692232</v>
      </c>
      <c r="H11" s="18">
        <f>-H6*H19</f>
        <v>-323277031.5431689</v>
      </c>
      <c r="I11" s="18">
        <f>-I6*I19</f>
        <v>-373350605.9793417</v>
      </c>
      <c r="J11" s="18">
        <f>-J6*J19</f>
        <v>-420566245.7544546</v>
      </c>
      <c r="K11" s="18">
        <f>-K6*K19</f>
        <v>-462320885.52291125</v>
      </c>
    </row>
    <row r="12" spans="1:11" x14ac:dyDescent="0.25">
      <c r="A12" t="s">
        <v>55</v>
      </c>
      <c r="B12" s="18">
        <f>-(B6-Assumptions!B29)*Assumptions!B11</f>
        <v>28496978.941315502</v>
      </c>
      <c r="C12" s="18">
        <f>-(C6-B6)*Assumptions!B11</f>
        <v>-174403382.3891103</v>
      </c>
      <c r="D12" s="18">
        <f>-(D6-C6)*Assumptions!B11</f>
        <v>-184139247.13061765</v>
      </c>
      <c r="E12" s="18">
        <f>-(E6-D6)*Assumptions!B11</f>
        <v>-188360190.1473248</v>
      </c>
      <c r="F12" s="18">
        <f>-(F6-E6)*Assumptions!B11</f>
        <v>-185802375.9822881</v>
      </c>
      <c r="G12" s="18">
        <f>-(G6-F6)*Assumptions!B11</f>
        <v>-175507560.86961338</v>
      </c>
      <c r="H12" s="18">
        <f>-(H6-G6)*Assumptions!B11</f>
        <v>-156974217.80864325</v>
      </c>
      <c r="I12" s="18">
        <f>-(I6-H6)*Assumptions!B11</f>
        <v>-130282074.85917394</v>
      </c>
      <c r="J12" s="18">
        <f>-(J6-I6)*Assumptions!B11</f>
        <v>-96167897.64838514</v>
      </c>
      <c r="K12" s="18">
        <f>-(K6-J6)*Assumptions!B11</f>
        <v>-56034010.47416692</v>
      </c>
    </row>
    <row r="13" spans="1:11" x14ac:dyDescent="0.25">
      <c r="A13" s="19" t="s">
        <v>56</v>
      </c>
      <c r="B13" s="20">
        <f>B9+B10+B11+B12</f>
        <v>741732211.7895497</v>
      </c>
      <c r="C13" s="20">
        <f>C9+C10+C11+C12</f>
        <v>654521359.2318722</v>
      </c>
      <c r="D13" s="20">
        <f>D9+D10+D11+D12</f>
        <v>762778631.5658355</v>
      </c>
      <c r="E13" s="20">
        <f>E9+E10+E11+E12</f>
        <v>874540596.9266808</v>
      </c>
      <c r="F13" s="20">
        <f>F9+F10+F11+F12</f>
        <v>986176819.0129459</v>
      </c>
      <c r="G13" s="20">
        <f>G9+G10+G11+G12</f>
        <v>1093465504.217419</v>
      </c>
      <c r="H13" s="20">
        <f>H9+H10+H11+H12</f>
        <v>1191813256.2770433</v>
      </c>
      <c r="I13" s="20">
        <f>I9+I10+I11+I12</f>
        <v>1276545827.313144</v>
      </c>
      <c r="J13" s="20">
        <f>J9+J10+J11+J12</f>
        <v>1343248868.4781997</v>
      </c>
      <c r="K13" s="20">
        <f>K9+K10+K11+K12</f>
        <v>1388127691.1809871</v>
      </c>
    </row>
    <row r="14" spans="1:11" x14ac:dyDescent="0.25">
      <c r="A14" t="s">
        <v>57</v>
      </c>
      <c r="B14" s="21">
        <f>1/(1+Assumptions!$B$26)^(1-0.5*Assumptions!$B$32)</f>
        <v>0.9597957888652004</v>
      </c>
      <c r="C14" s="21">
        <f>1/(1+Assumptions!$B$26)^(2-0.5*Assumptions!$B$32)</f>
        <v>0.8841715171482901</v>
      </c>
      <c r="D14" s="21">
        <f>1/(1+Assumptions!$B$26)^(3-0.5*Assumptions!$B$32)</f>
        <v>0.8145058363515117</v>
      </c>
      <c r="E14" s="21">
        <f>1/(1+Assumptions!$B$26)^(4-0.5*Assumptions!$B$32)</f>
        <v>0.7503292569188352</v>
      </c>
      <c r="F14" s="21">
        <f>1/(1+Assumptions!$B$26)^(5-0.5*Assumptions!$B$32)</f>
        <v>0.6912092813358347</v>
      </c>
      <c r="G14" s="21">
        <f>1/(1+Assumptions!$B$26)^(6-0.5*Assumptions!$B$32)</f>
        <v>0.6367474894511311</v>
      </c>
      <c r="H14" s="21">
        <f>1/(1+Assumptions!$B$26)^(7-0.5*Assumptions!$B$32)</f>
        <v>0.5865768534513145</v>
      </c>
      <c r="I14" s="21">
        <f>1/(1+Assumptions!$B$26)^(8-0.5*Assumptions!$B$32)</f>
        <v>0.5403592643944798</v>
      </c>
      <c r="J14" s="21">
        <f>1/(1+Assumptions!$B$26)^(9-0.5*Assumptions!$B$32)</f>
        <v>0.4977832536332394</v>
      </c>
      <c r="K14" s="21">
        <f>1/(1+Assumptions!$B$26)^(10-0.5*Assumptions!$B$32)</f>
        <v>0.4585618937714753</v>
      </c>
    </row>
    <row r="15" spans="1:11" x14ac:dyDescent="0.25">
      <c r="A15" s="19" t="s">
        <v>58</v>
      </c>
      <c r="B15" s="20">
        <f>B13*B14</f>
        <v>711911453.3412808</v>
      </c>
      <c r="C15" s="20">
        <f>C13*C14</f>
        <v>578709143.1980054</v>
      </c>
      <c r="D15" s="20">
        <f>D13*D14</f>
        <v>621287647.2545924</v>
      </c>
      <c r="E15" s="20">
        <f>E13*E14</f>
        <v>656193396.2373511</v>
      </c>
      <c r="F15" s="20">
        <f>F13*F14</f>
        <v>681654570.3399979</v>
      </c>
      <c r="G15" s="20">
        <f>G13*G14</f>
        <v>696261414.6118567</v>
      </c>
      <c r="H15" s="20">
        <f>H13*H14</f>
        <v>699090069.7685531</v>
      </c>
      <c r="I15" s="20">
        <f>I13*I14</f>
        <v>689793364.2127731</v>
      </c>
      <c r="J15" s="20">
        <f>J13*J14</f>
        <v>668646792.1902455</v>
      </c>
      <c r="K15" s="20">
        <f>K13*K14</f>
        <v>636542462.8645791</v>
      </c>
    </row>
    <row r="17" spans="1:2" x14ac:dyDescent="0.25">
      <c r="A17" s="22" t="s">
        <v>59</v>
      </c>
      <c r="B17" s="23">
        <f>SUM(B15:K15)</f>
        <v>6640090314.019235</v>
      </c>
    </row>
    <row r="19" spans="1:11" x14ac:dyDescent="0.25">
      <c r="A19" t="s">
        <v>7</v>
      </c>
      <c r="B19" s="9">
        <f>Assumptions!$B$10+($B$20-Assumptions!$B$10)*0/9</f>
        <v>0.018471181880191655</v>
      </c>
      <c r="C19" s="9">
        <f>Assumptions!$B$10+($B$20-Assumptions!$B$10)*1/9</f>
        <v>0.021656541225574106</v>
      </c>
      <c r="D19" s="9">
        <f>Assumptions!$B$10+($B$20-Assumptions!$B$10)*2/9</f>
        <v>0.02484190057095656</v>
      </c>
      <c r="E19" s="9">
        <f>Assumptions!$B$10+($B$20-Assumptions!$B$10)*3/9</f>
        <v>0.02802725991633901</v>
      </c>
      <c r="F19" s="9">
        <f>Assumptions!$B$10+($B$20-Assumptions!$B$10)*4/9</f>
        <v>0.03121261926172146</v>
      </c>
      <c r="G19" s="9">
        <f>Assumptions!$B$10+($B$20-Assumptions!$B$10)*5/9</f>
        <v>0.03439797860710392</v>
      </c>
      <c r="H19" s="9">
        <f>Assumptions!$B$10+($B$20-Assumptions!$B$10)*6/9</f>
        <v>0.03758333795248636</v>
      </c>
      <c r="I19" s="9">
        <f>Assumptions!$B$10+($B$20-Assumptions!$B$10)*7/9</f>
        <v>0.04076869729786882</v>
      </c>
      <c r="J19" s="9">
        <f>Assumptions!$B$10+($B$20-Assumptions!$B$10)*8/9</f>
        <v>0.04395405664325126</v>
      </c>
      <c r="K19" s="9">
        <f>Assumptions!$B$10+($B$20-Assumptions!$B$10)*9/9</f>
        <v>0.04713941598863372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0.04713941598863372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1388127691.1809871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1750552273.1573496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0.18473607571930106</v>
      </c>
    </row>
    <row r="7" spans="1:2" x14ac:dyDescent="0.25">
      <c r="A7" t="s">
        <v>66</v>
      </c>
      <c r="B7" s="18">
        <f>-MAX(B5,0)*B6</f>
        <v>-323390157.2845907</v>
      </c>
    </row>
    <row r="8" spans="1:2" x14ac:dyDescent="0.25">
      <c r="A8" t="s">
        <v>67</v>
      </c>
      <c r="B8" s="18">
        <f>IF(OR(Assumptions!$B$33=0,Assumptions!B12&lt;=0),B5,MAX(B5+B7,0))</f>
        <v>1427162115.8727589</v>
      </c>
    </row>
    <row r="9" spans="1:2" x14ac:dyDescent="0.25">
      <c r="A9" t="s">
        <v>68</v>
      </c>
      <c r="B9" s="18">
        <f>B8*(1+Assumptions!B12)/(Assumptions!B26-Assumptions!B12)</f>
        <v>24166720615.17085</v>
      </c>
    </row>
    <row r="10" spans="1:2" x14ac:dyDescent="0.25">
      <c r="A10" t="s">
        <v>69</v>
      </c>
      <c r="B10" s="18">
        <f>B9/(1+Assumptions!B26)^(10-0.5*Assumptions!B32)</f>
        <v>11081937171.538898</v>
      </c>
    </row>
    <row r="11" spans="1:2" x14ac:dyDescent="0.25">
      <c r="A11" t="s">
        <v>70</v>
      </c>
      <c r="B11" s="18">
        <f>Forecast!B17+B10</f>
        <v>17722027485.558132</v>
      </c>
    </row>
    <row r="12" spans="1:2" x14ac:dyDescent="0.25">
      <c r="A12" t="s">
        <v>71</v>
      </c>
      <c r="B12" s="18">
        <f>-Assumptions!B30</f>
        <v>-1664300000</v>
      </c>
    </row>
    <row r="13" spans="1:2" x14ac:dyDescent="0.25">
      <c r="A13" t="s">
        <v>72</v>
      </c>
      <c r="B13" s="18">
        <f>B11+B12</f>
        <v>16057727485.558132</v>
      </c>
    </row>
    <row r="14" spans="1:2" x14ac:dyDescent="0.25">
      <c r="A14" s="19" t="s">
        <v>73</v>
      </c>
      <c r="B14" s="24">
        <f>B13/Assumptions!B31</f>
        <v>97.02554371938449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2150554815.79078</v>
      </c>
    </row>
    <row r="18" spans="1:2" x14ac:dyDescent="0.25">
      <c r="A18" t="s">
        <v>68</v>
      </c>
      <c r="B18" s="18">
        <f>B17*Assumptions!B13</f>
        <v>25108988241.7326</v>
      </c>
    </row>
    <row r="19" spans="1:2" x14ac:dyDescent="0.25">
      <c r="A19" t="s">
        <v>69</v>
      </c>
      <c r="B19" s="18">
        <f>B18/(1+Assumptions!B26)^(10-0.5*Assumptions!B32)</f>
        <v>11514025198.814608</v>
      </c>
    </row>
    <row r="20" spans="1:2" x14ac:dyDescent="0.25">
      <c r="A20" t="s">
        <v>70</v>
      </c>
      <c r="B20" s="18">
        <f>Forecast!B17+B19</f>
        <v>18154115512.833843</v>
      </c>
    </row>
    <row r="21" spans="1:2" x14ac:dyDescent="0.25">
      <c r="A21" t="s">
        <v>71</v>
      </c>
      <c r="B21" s="18">
        <f>-Assumptions!B30</f>
        <v>-1664300000</v>
      </c>
    </row>
    <row r="22" spans="1:2" x14ac:dyDescent="0.25">
      <c r="A22" t="s">
        <v>72</v>
      </c>
      <c r="B22" s="18">
        <f>B20+B21</f>
        <v>16489815512.833843</v>
      </c>
    </row>
    <row r="23" spans="1:2" x14ac:dyDescent="0.25">
      <c r="A23" s="19" t="s">
        <v>73</v>
      </c>
      <c r="B23" s="25">
        <f>B22/Assumptions!B31</f>
        <v>99.63634750957004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66.26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97.02554371938449</v>
      </c>
    </row>
    <row r="29" spans="1:2" x14ac:dyDescent="0.25">
      <c r="A29" s="19" t="s">
        <v>81</v>
      </c>
      <c r="B29" s="11">
        <f>B28/B26-1</f>
        <v>0.46431548022010993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0.065531</v>
      </c>
      <c r="B5" s="31">
        <v>139.6076529470114</v>
      </c>
      <c r="C5" s="31">
        <v>145.64583657897896</v>
      </c>
      <c r="D5" s="31">
        <v>153.3894451719641</v>
      </c>
      <c r="E5" s="31">
        <v>163.55845211301659</v>
      </c>
      <c r="F5" s="31">
        <v>177.34446511957145</v>
      </c>
    </row>
    <row r="6" spans="1:6" x14ac:dyDescent="0.25">
      <c r="A6" s="30">
        <v>0.075531</v>
      </c>
      <c r="B6" s="31">
        <v>112.99697472214838</v>
      </c>
      <c r="C6" s="31">
        <v>115.91635025226007</v>
      </c>
      <c r="D6" s="31">
        <v>119.57664943212194</v>
      </c>
      <c r="E6" s="31">
        <v>124.22196649964343</v>
      </c>
      <c r="F6" s="31">
        <v>130.21684386223845</v>
      </c>
    </row>
    <row r="7" spans="1:6" x14ac:dyDescent="0.25">
      <c r="A7" s="30">
        <v>0.085531</v>
      </c>
      <c r="B7" s="31">
        <v>94.0449668359588</v>
      </c>
      <c r="C7" s="31">
        <v>95.36233615431054</v>
      </c>
      <c r="D7" s="32">
        <v>97.02596365710177</v>
      </c>
      <c r="E7" s="31">
        <v>99.12938039485556</v>
      </c>
      <c r="F7" s="31">
        <v>101.80313669359822</v>
      </c>
    </row>
    <row r="8" spans="1:6" x14ac:dyDescent="0.25">
      <c r="A8" s="30">
        <v>0.095531</v>
      </c>
      <c r="B8" s="31">
        <v>79.89120305751598</v>
      </c>
      <c r="C8" s="31">
        <v>80.33284013337583</v>
      </c>
      <c r="D8" s="31">
        <v>80.94140675203413</v>
      </c>
      <c r="E8" s="31">
        <v>81.75511296891464</v>
      </c>
      <c r="F8" s="31">
        <v>82.82479379373693</v>
      </c>
    </row>
    <row r="9" spans="1:6" x14ac:dyDescent="0.25">
      <c r="A9" s="30">
        <v>0.105531</v>
      </c>
      <c r="B9" s="31">
        <v>68.93966714100321</v>
      </c>
      <c r="C9" s="31">
        <v>68.8848381746987</v>
      </c>
      <c r="D9" s="31">
        <v>68.90960633334134</v>
      </c>
      <c r="E9" s="31">
        <v>69.02977912476513</v>
      </c>
      <c r="F9" s="31">
        <v>69.26564648519266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4176000000</v>
      </c>
      <c r="C5" s="18">
        <v>4082800000</v>
      </c>
      <c r="D5" s="18">
        <v>4104500000</v>
      </c>
      <c r="E5" s="18">
        <v>4121800000</v>
      </c>
      <c r="F5" s="6" t="s">
        <v>91</v>
      </c>
    </row>
    <row r="6" spans="1:6" x14ac:dyDescent="0.25">
      <c r="A6" t="s">
        <v>51</v>
      </c>
      <c r="B6" s="18">
        <v>930900000</v>
      </c>
      <c r="C6" s="18">
        <v>896500000</v>
      </c>
      <c r="D6" s="18">
        <v>739200000</v>
      </c>
      <c r="E6" s="18">
        <v>595300000</v>
      </c>
      <c r="F6" s="6" t="s">
        <v>92</v>
      </c>
    </row>
    <row r="7" spans="1:6" x14ac:dyDescent="0.25">
      <c r="A7" t="s">
        <v>93</v>
      </c>
      <c r="B7" s="18">
        <v>117700000</v>
      </c>
      <c r="C7" s="18">
        <v>114600000</v>
      </c>
      <c r="D7" s="18">
        <v>114800000</v>
      </c>
      <c r="E7" s="18">
        <v>106600000</v>
      </c>
      <c r="F7" s="6" t="s">
        <v>94</v>
      </c>
    </row>
    <row r="8" spans="1:6" x14ac:dyDescent="0.25">
      <c r="A8" t="s">
        <v>95</v>
      </c>
      <c r="B8" s="18">
        <v>68800000</v>
      </c>
      <c r="C8" s="18">
        <v>74400000</v>
      </c>
      <c r="D8" s="18">
        <v>76000000</v>
      </c>
      <c r="E8" s="18">
        <v>85200000</v>
      </c>
      <c r="F8" s="6" t="s">
        <v>96</v>
      </c>
    </row>
    <row r="9" spans="1:6" x14ac:dyDescent="0.25">
      <c r="A9" t="s">
        <v>97</v>
      </c>
      <c r="B9" s="18">
        <v>55800000</v>
      </c>
      <c r="C9" s="18">
        <v>5400000</v>
      </c>
      <c r="D9" s="18">
        <v>58600000</v>
      </c>
      <c r="E9" s="18">
        <v>215100000</v>
      </c>
      <c r="F9" s="6" t="s">
        <v>98</v>
      </c>
    </row>
    <row r="10" spans="1:6" x14ac:dyDescent="0.25">
      <c r="A10" t="s">
        <v>99</v>
      </c>
      <c r="B10" s="18">
        <v>1765900000</v>
      </c>
      <c r="C10" s="18">
        <v>1767100000</v>
      </c>
      <c r="D10" s="18">
        <v>2093600000</v>
      </c>
      <c r="E10" s="18">
        <v>2399000000</v>
      </c>
      <c r="F10" s="6" t="s">
        <v>100</v>
      </c>
    </row>
    <row r="11" spans="1:6" x14ac:dyDescent="0.25">
      <c r="A11" t="s">
        <v>101</v>
      </c>
      <c r="B11" s="18">
        <v>101600000</v>
      </c>
      <c r="C11" s="18">
        <v>118700000</v>
      </c>
      <c r="D11" s="18">
        <v>170300000</v>
      </c>
      <c r="E11" s="18">
        <v>108900000</v>
      </c>
      <c r="F11" s="6" t="s">
        <v>102</v>
      </c>
    </row>
    <row r="12" spans="1:6" x14ac:dyDescent="0.25">
      <c r="A12" t="s">
        <v>34</v>
      </c>
      <c r="B12" s="34">
        <v>165500000</v>
      </c>
      <c r="C12" s="34">
        <v>167100000</v>
      </c>
      <c r="D12" s="34">
        <v>166300000</v>
      </c>
      <c r="E12" s="34">
        <v>165600000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