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<sst xmlns="http://schemas.openxmlformats.org/spreadsheetml/2006/main" count="111" uniqueCount="99">
  <si>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Pentair plc (PNR)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</si>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</sst>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0.004364124986398155</v>
      </c>
    </row>
    <row r="7" spans="1:2" x14ac:dyDescent="0.25">
      <c r="A7" t="s">
        <v>5</v>
      </c>
      <c r="B7" s="6">
        <v>0.19175464413486037</v>
      </c>
    </row>
    <row r="8" spans="1:2" x14ac:dyDescent="0.25">
      <c r="A8" t="s">
        <v>6</v>
      </c>
      <c r="B8" s="6">
        <v>0.12978161079426903</v>
      </c>
    </row>
    <row r="9" spans="1:2" x14ac:dyDescent="0.25">
      <c r="A9" t="s">
        <v>7</v>
      </c>
      <c r="B9" s="6">
        <v>0.02752140685569617</v>
      </c>
    </row>
    <row r="10" spans="1:2" x14ac:dyDescent="0.25">
      <c r="A10" t="s">
        <v>8</v>
      </c>
      <c r="B10" s="6">
        <v>0.018471181880191655</v>
      </c>
    </row>
    <row r="11" spans="1:2" x14ac:dyDescent="0.25">
      <c r="A11" t="s">
        <v>9</v>
      </c>
      <c r="B11" s="6">
        <v>-0.2488479262672811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10.098351844363913</v>
      </c>
    </row>
    <row r="14" spans="1:3" x14ac:dyDescent="0.25">
      <c r="A14" t="s">
        <v>12</v>
      </c>
      <c r="B14" s="6">
        <v>0.1353281967404487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1.01206</v>
      </c>
      <c r="C19" s="8" t="s">
        <v>19</v>
      </c>
    </row>
    <row r="20" spans="1:2" x14ac:dyDescent="0.25">
      <c r="A20" t="s">
        <v>20</v>
      </c>
      <c r="B20" s="10">
        <f>B17+B19*B18</f>
        <v>0.1056433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8924831744</v>
      </c>
    </row>
    <row r="23" spans="1:2" x14ac:dyDescent="0.25">
      <c r="A23" t="s">
        <v>24</v>
      </c>
      <c r="B23" s="11">
        <v>1765900000</v>
      </c>
    </row>
    <row r="24" spans="1:2" x14ac:dyDescent="0.25">
      <c r="A24" t="s">
        <v>25</v>
      </c>
      <c r="B24" s="10">
        <f>B22/(B22+B23)</f>
        <v>0.8348195388036854</v>
      </c>
    </row>
    <row r="25" spans="1:2" x14ac:dyDescent="0.25">
      <c r="A25" t="s">
        <v>26</v>
      </c>
      <c r="B25" s="10">
        <f>1-B24</f>
        <v>0.16518046119631458</v>
      </c>
    </row>
    <row r="26" spans="1:2" x14ac:dyDescent="0.25">
      <c r="A26" t="s">
        <v>27</v>
      </c>
      <c r="B26" s="12">
        <f>B24*B20+B25*B21*(1-B8)</f>
        <v>0.0953773698657278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4176000000</v>
      </c>
      <c r="C29" s="8" t="s">
        <v>30</v>
      </c>
    </row>
    <row r="30" spans="1:2" x14ac:dyDescent="0.25">
      <c r="A30" t="s">
        <v>31</v>
      </c>
      <c r="B30" s="11">
        <v>1664300000</v>
      </c>
    </row>
    <row r="31" spans="1:2" x14ac:dyDescent="0.25">
      <c r="A31" t="s">
        <v>32</v>
      </c>
      <c r="B31" s="13">
        <v>165500000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0.004364124986398155</v>
      </c>
      <c r="C5" s="10">
        <f>Assumptions!B6</f>
        <v>0.004364124986398155</v>
      </c>
      <c r="D5" s="10">
        <f>Assumptions!B6</f>
        <v>0.004364124986398155</v>
      </c>
      <c r="E5" s="10">
        <f>Assumptions!B6</f>
        <v>0.004364124986398155</v>
      </c>
      <c r="F5" s="10">
        <f>Assumptions!B6</f>
        <v>0.004364124986398155</v>
      </c>
    </row>
    <row r="6" spans="1:6" x14ac:dyDescent="0.25">
      <c r="A6" t="s">
        <v>43</v>
      </c>
      <c r="B6" s="18">
        <f>Assumptions!B29*(1+B5)</f>
        <v>4194224585.9431987</v>
      </c>
      <c r="C6" s="18">
        <f>B6*(1+C5)</f>
        <v>4212528706.257279</v>
      </c>
      <c r="D6" s="18">
        <f>C6*(1+D5)</f>
        <v>4230912708.040176</v>
      </c>
      <c r="E6" s="18">
        <f>D6*(1+E5)</f>
        <v>4249376939.9046035</v>
      </c>
      <c r="F6" s="18">
        <f>E6*(1+F5)</f>
        <v>4267921751.9846654</v>
      </c>
    </row>
    <row r="7" spans="1:6" x14ac:dyDescent="0.25">
      <c r="A7" t="s">
        <v>5</v>
      </c>
      <c r="B7" s="10">
        <f>Assumptions!B7</f>
        <v>0.19175464413486037</v>
      </c>
      <c r="C7" s="10">
        <f>Assumptions!B7</f>
        <v>0.19175464413486037</v>
      </c>
      <c r="D7" s="10">
        <f>Assumptions!B7</f>
        <v>0.19175464413486037</v>
      </c>
      <c r="E7" s="10">
        <f>Assumptions!B7</f>
        <v>0.19175464413486037</v>
      </c>
      <c r="F7" s="10">
        <f>Assumptions!B7</f>
        <v>0.19175464413486037</v>
      </c>
    </row>
    <row r="8" spans="1:6" x14ac:dyDescent="0.25">
      <c r="A8" t="s">
        <v>44</v>
      </c>
      <c r="B8" s="18">
        <f>B6*B7</f>
        <v>804262042.8992201</v>
      </c>
      <c r="C8" s="18">
        <f>C6*C7</f>
        <v>807771942.9762483</v>
      </c>
      <c r="D8" s="18">
        <f>D6*D7</f>
        <v>811297160.6959023</v>
      </c>
      <c r="E8" s="18">
        <f>E6*E7</f>
        <v>814837762.9062892</v>
      </c>
      <c r="F8" s="18">
        <f>F6*F7</f>
        <v>818393816.7472494</v>
      </c>
    </row>
    <row r="9" spans="1:6" x14ac:dyDescent="0.25">
      <c r="A9" t="s">
        <v>45</v>
      </c>
      <c r="B9" s="18">
        <f>B8*(1-Assumptions!B8)</f>
        <v>699883619.4710698</v>
      </c>
      <c r="C9" s="18">
        <f>C8*(1-Assumptions!B8)</f>
        <v>702937999.0623742</v>
      </c>
      <c r="D9" s="18">
        <f>D8*(1-Assumptions!B8)</f>
        <v>706005708.3479712</v>
      </c>
      <c r="E9" s="18">
        <f>E8*(1-Assumptions!B8)</f>
        <v>709086805.5003123</v>
      </c>
      <c r="F9" s="18">
        <f>F8*(1-Assumptions!B8)</f>
        <v>712181348.9457215</v>
      </c>
    </row>
    <row r="10" spans="1:6" x14ac:dyDescent="0.25">
      <c r="A10" t="s">
        <v>46</v>
      </c>
      <c r="B10" s="18">
        <f>B6*Assumptions!B9</f>
        <v>115430961.27390657</v>
      </c>
      <c r="C10" s="18">
        <f>C6*Assumptions!B9</f>
        <v>115934716.41620599</v>
      </c>
      <c r="D10" s="18">
        <f>D6*Assumptions!B9</f>
        <v>116440670.00890894</v>
      </c>
      <c r="E10" s="18">
        <f>E6*Assumptions!B9</f>
        <v>116948831.64632776</v>
      </c>
      <c r="F10" s="18">
        <f>F6*Assumptions!B9</f>
        <v>117459210.96464558</v>
      </c>
    </row>
    <row r="11" spans="1:6" x14ac:dyDescent="0.25">
      <c r="A11" t="s">
        <v>47</v>
      </c>
      <c r="B11" s="18">
        <f>-B6*Assumptions!B10</f>
        <v>-77472285.17332835</v>
      </c>
      <c r="C11" s="18">
        <f>-C6*Assumptions!B10</f>
        <v>-77810383.90880665</v>
      </c>
      <c r="D11" s="18">
        <f>-D6*Assumptions!B10</f>
        <v>-78149958.1494243</v>
      </c>
      <c r="E11" s="18">
        <f>-E6*Assumptions!B10</f>
        <v>-78491014.33447018</v>
      </c>
      <c r="F11" s="18">
        <f>-F6*Assumptions!B10</f>
        <v>-78833558.93133497</v>
      </c>
    </row>
    <row r="12" spans="1:6" x14ac:dyDescent="0.25">
      <c r="A12" t="s">
        <v>48</v>
      </c>
      <c r="B12" s="18">
        <f>-(B6-Assumptions!B29)*Assumptions!B11</f>
        <v>4535150.419044833</v>
      </c>
      <c r="C12" s="18">
        <f>-(C6-B6)*Assumptions!B11</f>
        <v>4554942.382305682</v>
      </c>
      <c r="D12" s="18">
        <f>-(D6-C6)*Assumptions!B11</f>
        <v>4574820.720167916</v>
      </c>
      <c r="E12" s="18">
        <f>-(E6-D6)*Assumptions!B11</f>
        <v>4594785.809581053</v>
      </c>
      <c r="F12" s="18">
        <f>-(F6-E6)*Assumptions!B11</f>
        <v>4614838.029139831</v>
      </c>
    </row>
    <row r="13" spans="1:6" x14ac:dyDescent="0.25">
      <c r="A13" s="19" t="s">
        <v>49</v>
      </c>
      <c r="B13" s="20">
        <f>B9+B10+B11+B12</f>
        <v>742377445.9906929</v>
      </c>
      <c r="C13" s="20">
        <f>C9+C10+C11+C12</f>
        <v>745617273.9520793</v>
      </c>
      <c r="D13" s="20">
        <f>D9+D10+D11+D12</f>
        <v>748871240.9276237</v>
      </c>
      <c r="E13" s="20">
        <f>E9+E10+E11+E12</f>
        <v>752139408.621751</v>
      </c>
      <c r="F13" s="20">
        <f>F9+F10+F11+F12</f>
        <v>755421839.008172</v>
      </c>
    </row>
    <row r="14" spans="1:6" x14ac:dyDescent="0.25">
      <c r="A14" t="s">
        <v>50</v>
      </c>
      <c r="B14" s="21">
        <f>1/(1+Assumptions!$B$26)^(1-0.5*Assumptions!$B$32)</f>
        <v>0.9554723370950837</v>
      </c>
      <c r="C14" s="21">
        <f>1/(1+Assumptions!$B$26)^(2-0.5*Assumptions!$B$32)</f>
        <v>0.8722768640109902</v>
      </c>
      <c r="D14" s="21">
        <f>1/(1+Assumptions!$B$26)^(3-0.5*Assumptions!$B$32)</f>
        <v>0.796325438161932</v>
      </c>
      <c r="E14" s="21">
        <f>1/(1+Assumptions!$B$26)^(4-0.5*Assumptions!$B$32)</f>
        <v>0.726987301426125</v>
      </c>
      <c r="F14" s="21">
        <f>1/(1+Assumptions!$B$26)^(5-0.5*Assumptions!$B$32)</f>
        <v>0.6636866174396497</v>
      </c>
    </row>
    <row r="15" spans="1:6" x14ac:dyDescent="0.25">
      <c r="A15" s="19" t="s">
        <v>51</v>
      </c>
      <c r="B15" s="20">
        <f>B13*B14</f>
        <v>709321113.3274066</v>
      </c>
      <c r="C15" s="20">
        <f>C13*C14</f>
        <v>650384697.4753431</v>
      </c>
      <c r="D15" s="20">
        <f>D13*D14</f>
        <v>596345219.0585598</v>
      </c>
      <c r="E15" s="20">
        <f>E13*E14</f>
        <v>546795798.9701682</v>
      </c>
      <c r="F15" s="20">
        <f>F13*F14</f>
        <v>501363365.07137334</v>
      </c>
    </row>
    <row r="17" spans="1:2" x14ac:dyDescent="0.25">
      <c r="A17" s="22" t="s">
        <v>52</v>
      </c>
      <c r="B17" s="23">
        <f>SUM(B15:F15)</f>
        <v>3004210193.902851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755421839.008172</v>
      </c>
    </row>
    <row r="5" spans="1:2" x14ac:dyDescent="0.25">
      <c r="A5" t="s">
        <v>56</v>
      </c>
      <c r="B5" s="18">
        <f>IF(Assumptions!$B$33=0,B4,B4-Forecast!F11-Forecast!F10-Forecast!F12)</f>
        <v>761784648.767412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0.18473607571930106</v>
      </c>
    </row>
    <row r="7" spans="1:2" x14ac:dyDescent="0.25">
      <c r="A7" t="s">
        <v>58</v>
      </c>
      <c r="B7" s="18">
        <f>-MAX(Forecast!F9,0)*B6</f>
        <v>-140729106.55649778</v>
      </c>
    </row>
    <row r="8" spans="1:2" x14ac:dyDescent="0.25">
      <c r="A8" t="s">
        <v>59</v>
      </c>
      <c r="B8" s="18">
        <f>IF(OR(Assumptions!$B$33=0,Assumptions!B12&lt;=0),B5,MAX(B5+B7,0))</f>
        <v>621055542.2109141</v>
      </c>
    </row>
    <row r="9" spans="1:2" x14ac:dyDescent="0.25">
      <c r="A9" t="s">
        <v>60</v>
      </c>
      <c r="B9" s="18">
        <f>B8*(1+Assumptions!B12)/(Assumptions!B26-Assumptions!B12)</f>
        <v>9045264578.382435</v>
      </c>
    </row>
    <row r="10" spans="1:2" x14ac:dyDescent="0.25">
      <c r="A10" t="s">
        <v>61</v>
      </c>
      <c r="B10" s="18">
        <f>B9/(1+Assumptions!B26)^(5-0.5*Assumptions!B32)</f>
        <v>6003221051.873318</v>
      </c>
    </row>
    <row r="11" spans="1:2" x14ac:dyDescent="0.25">
      <c r="A11" t="s">
        <v>62</v>
      </c>
      <c r="B11" s="18">
        <f>Forecast!B17+B10</f>
        <v>9007431245.776169</v>
      </c>
    </row>
    <row r="12" spans="1:2" x14ac:dyDescent="0.25">
      <c r="A12" t="s">
        <v>63</v>
      </c>
      <c r="B12" s="18">
        <f>-Assumptions!B30</f>
        <v>-1664300000</v>
      </c>
    </row>
    <row r="13" spans="1:2" x14ac:dyDescent="0.25">
      <c r="A13" t="s">
        <v>64</v>
      </c>
      <c r="B13" s="18">
        <f>B11+B12</f>
        <v>7343131245.776169</v>
      </c>
    </row>
    <row r="14" spans="1:2" x14ac:dyDescent="0.25">
      <c r="A14" s="19" t="s">
        <v>65</v>
      </c>
      <c r="B14" s="24">
        <f>B13/Assumptions!B31</f>
        <v>44.369373086260836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935853027.711895</v>
      </c>
    </row>
    <row r="18" spans="1:2" x14ac:dyDescent="0.25">
      <c r="A18" t="s">
        <v>60</v>
      </c>
      <c r="B18" s="18">
        <f>B17*Assumptions!B13</f>
        <v>9450573148.447968</v>
      </c>
    </row>
    <row r="19" spans="1:2" x14ac:dyDescent="0.25">
      <c r="A19" t="s">
        <v>61</v>
      </c>
      <c r="B19" s="18">
        <f>B18/(1+Assumptions!B26)^(5-0.5*Assumptions!B32)</f>
        <v>6272218925.759413</v>
      </c>
    </row>
    <row r="20" spans="1:2" x14ac:dyDescent="0.25">
      <c r="A20" t="s">
        <v>62</v>
      </c>
      <c r="B20" s="18">
        <f>Forecast!B17+B19</f>
        <v>9276429119.662264</v>
      </c>
    </row>
    <row r="21" spans="1:2" x14ac:dyDescent="0.25">
      <c r="A21" t="s">
        <v>63</v>
      </c>
      <c r="B21" s="18">
        <f>-Assumptions!B30</f>
        <v>-1664300000</v>
      </c>
    </row>
    <row r="22" spans="1:2" x14ac:dyDescent="0.25">
      <c r="A22" t="s">
        <v>64</v>
      </c>
      <c r="B22" s="18">
        <f>B20+B21</f>
        <v>7612129119.662264</v>
      </c>
    </row>
    <row r="23" spans="1:2" x14ac:dyDescent="0.25">
      <c r="A23" s="19" t="s">
        <v>65</v>
      </c>
      <c r="B23" s="25">
        <f>B22/Assumptions!B31</f>
        <v>45.99473788315567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44.369373086260836</v>
      </c>
    </row>
    <row r="29" spans="1:2" x14ac:dyDescent="0.25">
      <c r="A29" s="19" t="s">
        <v>73</v>
      </c>
      <c r="B29" s="12">
        <f>B28/B26-1</f>
        <v>-0.2065562752814586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0.075377</v>
      </c>
      <c r="B5" s="31">
        <v>58.509607937001114</v>
      </c>
      <c r="C5" s="31">
        <v>60.996796162082916</v>
      </c>
      <c r="D5" s="31">
        <v>63.95335719537227</v>
      </c>
      <c r="E5" s="31">
        <v>67.53444876265793</v>
      </c>
      <c r="F5" s="31">
        <v>71.97208309887424</v>
      </c>
    </row>
    <row r="6" spans="1:6" x14ac:dyDescent="0.25">
      <c r="A6" s="30">
        <v>0.085377</v>
      </c>
      <c r="B6" s="31">
        <v>49.315175148637</v>
      </c>
      <c r="C6" s="31">
        <v>50.81883527584433</v>
      </c>
      <c r="D6" s="31">
        <v>52.55205867580014</v>
      </c>
      <c r="E6" s="31">
        <v>54.577027284890086</v>
      </c>
      <c r="F6" s="31">
        <v>56.980609676808754</v>
      </c>
    </row>
    <row r="7" spans="1:6" x14ac:dyDescent="0.25">
      <c r="A7" s="30">
        <v>0.095377</v>
      </c>
      <c r="B7" s="31">
        <v>42.397505424578476</v>
      </c>
      <c r="C7" s="31">
        <v>43.325647512521854</v>
      </c>
      <c r="D7" s="32">
        <v>44.36963309989684</v>
      </c>
      <c r="E7" s="31">
        <v>45.55604114400451</v>
      </c>
      <c r="F7" s="31">
        <v>46.9202549340277</v>
      </c>
    </row>
    <row r="8" spans="1:6" x14ac:dyDescent="0.25">
      <c r="A8" s="30">
        <v>0.105377</v>
      </c>
      <c r="B8" s="31">
        <v>37.00134913820028</v>
      </c>
      <c r="C8" s="31">
        <v>37.57458089852345</v>
      </c>
      <c r="D8" s="31">
        <v>38.205650626037624</v>
      </c>
      <c r="E8" s="31">
        <v>38.90606805856558</v>
      </c>
      <c r="F8" s="31">
        <v>39.690613814423024</v>
      </c>
    </row>
    <row r="9" spans="1:6" x14ac:dyDescent="0.25">
      <c r="A9" s="30">
        <v>0.115377</v>
      </c>
      <c r="B9" s="31">
        <v>32.67239286946698</v>
      </c>
      <c r="C9" s="31">
        <v>33.01827884127633</v>
      </c>
      <c r="D9" s="31">
        <v>33.39092401718138</v>
      </c>
      <c r="E9" s="31">
        <v>33.79502975775275</v>
      </c>
      <c r="F9" s="31">
        <v>34.23646725089237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4176000000</v>
      </c>
      <c r="C5" s="18">
        <v>4082800000</v>
      </c>
      <c r="D5" s="18">
        <v>4104500000</v>
      </c>
      <c r="E5" s="18">
        <v>4121800000</v>
      </c>
      <c r="F5" s="8" t="s">
        <v>84</v>
      </c>
    </row>
    <row r="6" spans="1:6" x14ac:dyDescent="0.25">
      <c r="A6" t="s">
        <v>44</v>
      </c>
      <c r="B6" s="18">
        <v>930900000</v>
      </c>
      <c r="C6" s="18">
        <v>896500000</v>
      </c>
      <c r="D6" s="18">
        <v>739200000</v>
      </c>
      <c r="E6" s="18">
        <v>595300000</v>
      </c>
      <c r="F6" s="8" t="s">
        <v>85</v>
      </c>
    </row>
    <row r="7" spans="1:6" x14ac:dyDescent="0.25">
      <c r="A7" t="s">
        <v>86</v>
      </c>
      <c r="B7" s="18">
        <v>117700000</v>
      </c>
      <c r="C7" s="18">
        <v>114600000</v>
      </c>
      <c r="D7" s="18">
        <v>114800000</v>
      </c>
      <c r="E7" s="18">
        <v>106600000</v>
      </c>
      <c r="F7" s="8" t="s">
        <v>87</v>
      </c>
    </row>
    <row r="8" spans="1:6" x14ac:dyDescent="0.25">
      <c r="A8" t="s">
        <v>88</v>
      </c>
      <c r="B8" s="18">
        <v>68800000</v>
      </c>
      <c r="C8" s="18">
        <v>74400000</v>
      </c>
      <c r="D8" s="18">
        <v>76000000</v>
      </c>
      <c r="E8" s="18">
        <v>85200000</v>
      </c>
      <c r="F8" s="8" t="s">
        <v>89</v>
      </c>
    </row>
    <row r="9" spans="1:6" x14ac:dyDescent="0.25">
      <c r="A9" t="s">
        <v>90</v>
      </c>
      <c r="B9" s="18">
        <v>55800000</v>
      </c>
      <c r="C9" s="18">
        <v>5400000</v>
      </c>
      <c r="D9" s="18">
        <v>58600000</v>
      </c>
      <c r="E9" s="18">
        <v>215100000</v>
      </c>
      <c r="F9" s="8" t="s">
        <v>91</v>
      </c>
    </row>
    <row r="10" spans="1:6" x14ac:dyDescent="0.25">
      <c r="A10" t="s">
        <v>92</v>
      </c>
      <c r="B10" s="18">
        <v>1765900000</v>
      </c>
      <c r="C10" s="18">
        <v>1767100000</v>
      </c>
      <c r="D10" s="18">
        <v>2093600000</v>
      </c>
      <c r="E10" s="18">
        <v>2399000000</v>
      </c>
      <c r="F10" s="8" t="s">
        <v>93</v>
      </c>
    </row>
    <row r="11" spans="1:6" x14ac:dyDescent="0.25">
      <c r="A11" t="s">
        <v>94</v>
      </c>
      <c r="B11" s="18">
        <v>101600000</v>
      </c>
      <c r="C11" s="18">
        <v>118700000</v>
      </c>
      <c r="D11" s="18">
        <v>170300000</v>
      </c>
      <c r="E11" s="18">
        <v>108900000</v>
      </c>
      <c r="F11" s="8" t="s">
        <v>95</v>
      </c>
    </row>
    <row r="12" spans="1:6" x14ac:dyDescent="0.25">
      <c r="A12" t="s">
        <v>32</v>
      </c>
      <c r="B12" s="34">
        <v>165500000</v>
      </c>
      <c r="C12" s="34">
        <v>167100000</v>
      </c>
      <c r="D12" s="34">
        <v>166300000</v>
      </c>
      <c r="E12" s="34">
        <v>165600000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2026-09-19T00:07:17Z</dcterms:modified>
</cp:coreProperties>
</file>