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<sst xmlns="http://schemas.openxmlformats.org/spreadsheetml/2006/main" count="113" uniqueCount="101">
  <si>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Pinnacle West Capital Corporation (PNW)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</si>
  <si>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</si>
  <si>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</si>
  <si>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</si>
  <si>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</si>
  <si>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</si>
  <si>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</si>
  <si>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</si>
  <si>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</si>
  <si>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</si>
  <si>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</si>
  <si>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</si>
  <si>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</si>
  <si>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</si>
  <si>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</si>
  <si>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</si>
  <si>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</si>
  <si>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</si>
  <si>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</si>
  <si>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</si>
  <si>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</si>
  <si>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</si>
  <si>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</si>
  <si>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</si>
  <si>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</si>
  <si>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</si>
  <si>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</si>
  <si>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</si>
  <si>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</si>
  <si>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</si>
  <si>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</si>
  <si>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</si>
  <si>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</si>
  <si>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</si>
  <si>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</si>
  <si>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</si>
  <si>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</si>
  <si>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</si>
  <si>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</si>
  <si>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</si>
  <si>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</si>
  <si>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</si>
  <si>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</si>
  <si>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</si>
  <si>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</si>
  <si>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</si>
  <si>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</si>
  <si>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</si>
  <si>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</si>
  <si>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</si>
  <si>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</si>
  <si>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</si>
  <si>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</si>
  <si>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</si>
  <si>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</si>
  <si>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</si>
  <si>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</si>
  <si>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</si>
  <si>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</si>
  <si>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</si>
  <si>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</si>
  <si>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</si>
  <si>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</si>
  <si>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</si>
  <si>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</si>
  <si>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</si>
  <si>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</si>
  <si>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</si>
  <si>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</si>
  <si>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</si>
  <si>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</si>
  <si>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</si>
  <si>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</si>
  <si>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</si>
  <si>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</si>
  <si>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</si>
  <si>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</si>
  <si>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</si>
  <si>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</si>
  <si>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</si>
  <si>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</si>
  <si>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</si>
  <si>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</si>
  <si>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</si>
  <si>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</si>
  <si>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</si>
  <si>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</si>
  <si>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</si>
  <si>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</si>
  <si>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</si>
  <si>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</si>
  <si>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</si>
  <si>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</si>
  <si>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</si>
  <si>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</si>
  <si>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</si>
  <si>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</si>
  <si>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</si>
  <si>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</si>
  <si>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43.0% of revenue against depreciation of 18.5%.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</si>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</sst>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0.07284582276575913</v>
      </c>
    </row>
    <row r="7" spans="1:2" x14ac:dyDescent="0.25">
      <c r="A7" t="s">
        <v>5</v>
      </c>
      <c r="B7" s="6">
        <v>0.1855672821420852</v>
      </c>
    </row>
    <row r="8" spans="1:2" x14ac:dyDescent="0.25">
      <c r="A8" t="s">
        <v>6</v>
      </c>
      <c r="B8" s="6">
        <v>0.13726459926286366</v>
      </c>
    </row>
    <row r="9" spans="1:2" x14ac:dyDescent="0.25">
      <c r="A9" t="s">
        <v>7</v>
      </c>
      <c r="B9" s="6">
        <v>0.1847891354952366</v>
      </c>
    </row>
    <row r="10" spans="1:2" x14ac:dyDescent="0.25">
      <c r="A10" t="s">
        <v>8</v>
      </c>
      <c r="B10" s="6">
        <v>0.4296033215006736</v>
      </c>
    </row>
    <row r="11" spans="1:2" x14ac:dyDescent="0.25">
      <c r="A11" t="s">
        <v>9</v>
      </c>
      <c r="B11" s="6">
        <v>0.1882314815678302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12.620484609362153</v>
      </c>
    </row>
    <row r="14" spans="1:3" x14ac:dyDescent="0.25">
      <c r="A14" t="s">
        <v>12</v>
      </c>
      <c r="B14" s="6">
        <v>0.061373089537096456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0.62279</v>
      </c>
      <c r="C19" s="8" t="s">
        <v>19</v>
      </c>
    </row>
    <row r="20" spans="1:2" x14ac:dyDescent="0.25">
      <c r="A20" t="s">
        <v>20</v>
      </c>
      <c r="B20" s="10">
        <f>B17+B19*B18</f>
        <v>0.08423345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11417991168</v>
      </c>
    </row>
    <row r="23" spans="1:2" x14ac:dyDescent="0.25">
      <c r="A23" t="s">
        <v>24</v>
      </c>
      <c r="B23" s="11">
        <v>14299632000</v>
      </c>
    </row>
    <row r="24" spans="1:2" x14ac:dyDescent="0.25">
      <c r="A24" t="s">
        <v>25</v>
      </c>
      <c r="B24" s="10">
        <f>B22/(B22+B23)</f>
        <v>0.4439753663630631</v>
      </c>
    </row>
    <row r="25" spans="1:2" x14ac:dyDescent="0.25">
      <c r="A25" t="s">
        <v>26</v>
      </c>
      <c r="B25" s="10">
        <f>1-B24</f>
        <v>0.5560246336369369</v>
      </c>
    </row>
    <row r="26" spans="1:2" x14ac:dyDescent="0.25">
      <c r="A26" t="s">
        <v>27</v>
      </c>
      <c r="B26" s="12">
        <f>B24*B20+B25*B21*(1-B8)</f>
        <v>0.061373089537096456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5339939000</v>
      </c>
      <c r="C29" s="8" t="s">
        <v>30</v>
      </c>
    </row>
    <row r="30" spans="1:2" x14ac:dyDescent="0.25">
      <c r="A30" t="s">
        <v>31</v>
      </c>
      <c r="B30" s="11">
        <v>14293028000</v>
      </c>
    </row>
    <row r="31" spans="1:2" x14ac:dyDescent="0.25">
      <c r="A31" t="s">
        <v>32</v>
      </c>
      <c r="B31" s="13">
        <v>121971000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0.07284582276575913</v>
      </c>
      <c r="C5" s="10">
        <f>Assumptions!B6</f>
        <v>0.07284582276575913</v>
      </c>
      <c r="D5" s="10">
        <f>Assumptions!B6</f>
        <v>0.07284582276575913</v>
      </c>
      <c r="E5" s="10">
        <f>Assumptions!B6</f>
        <v>0.07284582276575913</v>
      </c>
      <c r="F5" s="10">
        <f>Assumptions!B6</f>
        <v>0.07284582276575913</v>
      </c>
    </row>
    <row r="6" spans="1:6" x14ac:dyDescent="0.25">
      <c r="A6" t="s">
        <v>43</v>
      </c>
      <c r="B6" s="18">
        <f>Assumptions!B29*(1+B5)</f>
        <v>5728931249.973965</v>
      </c>
      <c r="C6" s="18">
        <f>B6*(1+C5)</f>
        <v>6146259960.446787</v>
      </c>
      <c r="D6" s="18">
        <f>C6*(1+D5)</f>
        <v>6593989324.197775</v>
      </c>
      <c r="E6" s="18">
        <f>D6*(1+E5)</f>
        <v>7074333901.827594</v>
      </c>
      <c r="F6" s="18">
        <f>E6*(1+F5)</f>
        <v>7589669575.425928</v>
      </c>
    </row>
    <row r="7" spans="1:6" x14ac:dyDescent="0.25">
      <c r="A7" t="s">
        <v>5</v>
      </c>
      <c r="B7" s="10">
        <f>Assumptions!B7</f>
        <v>0.1855672821420852</v>
      </c>
      <c r="C7" s="10">
        <f>Assumptions!B7</f>
        <v>0.1855672821420852</v>
      </c>
      <c r="D7" s="10">
        <f>Assumptions!B7</f>
        <v>0.1855672821420852</v>
      </c>
      <c r="E7" s="10">
        <f>Assumptions!B7</f>
        <v>0.1855672821420852</v>
      </c>
      <c r="F7" s="10">
        <f>Assumptions!B7</f>
        <v>0.1855672821420852</v>
      </c>
    </row>
    <row r="8" spans="1:6" x14ac:dyDescent="0.25">
      <c r="A8" t="s">
        <v>44</v>
      </c>
      <c r="B8" s="18">
        <f>B6*B7</f>
        <v>1063102201.6365275</v>
      </c>
      <c r="C8" s="18">
        <f>C6*C7</f>
        <v>1140544756.1988304</v>
      </c>
      <c r="D8" s="18">
        <f>D6*D7</f>
        <v>1223628677.3653061</v>
      </c>
      <c r="E8" s="18">
        <f>E6*E7</f>
        <v>1312764915.1277597</v>
      </c>
      <c r="F8" s="18">
        <f>F6*F7</f>
        <v>1408394355.4682631</v>
      </c>
    </row>
    <row r="9" spans="1:6" x14ac:dyDescent="0.25">
      <c r="A9" t="s">
        <v>45</v>
      </c>
      <c r="B9" s="18">
        <f>B8*(1-Assumptions!B8)</f>
        <v>917175903.9534216</v>
      </c>
      <c r="C9" s="18">
        <f>C8*(1-Assumptions!B8)</f>
        <v>983988337.2978375</v>
      </c>
      <c r="D9" s="18">
        <f>D8*(1-Assumptions!B8)</f>
        <v>1055667777.3202096</v>
      </c>
      <c r="E9" s="18">
        <f>E8*(1-Assumptions!B8)</f>
        <v>1132568765.1264007</v>
      </c>
      <c r="F9" s="18">
        <f>F8*(1-Assumptions!B8)</f>
        <v>1215071668.660833</v>
      </c>
    </row>
    <row r="10" spans="1:6" x14ac:dyDescent="0.25">
      <c r="A10" t="s">
        <v>46</v>
      </c>
      <c r="B10" s="18">
        <f>B6*Assumptions!B9</f>
        <v>1058644252.9943341</v>
      </c>
      <c r="C10" s="18">
        <f>C6*Assumptions!B9</f>
        <v>1135762064.6199489</v>
      </c>
      <c r="D10" s="18">
        <f>D6*Assumptions!B9</f>
        <v>1218497586.6833262</v>
      </c>
      <c r="E10" s="18">
        <f>E6*Assumptions!B9</f>
        <v>1307260045.923365</v>
      </c>
      <c r="F10" s="18">
        <f>F6*Assumptions!B9</f>
        <v>1402488479.5374565</v>
      </c>
    </row>
    <row r="11" spans="1:6" x14ac:dyDescent="0.25">
      <c r="A11" t="s">
        <v>47</v>
      </c>
      <c r="B11" s="18">
        <f>-B6*Assumptions!B10</f>
        <v>-2461167893.637821</v>
      </c>
      <c r="C11" s="18">
        <f>-C6*Assumptions!B10</f>
        <v>-2640453693.8145385</v>
      </c>
      <c r="D11" s="18">
        <f>-D6*Assumptions!B10</f>
        <v>-2832799715.615346</v>
      </c>
      <c r="E11" s="18">
        <f>-E6*Assumptions!B10</f>
        <v>-3039157341.6299543</v>
      </c>
      <c r="F11" s="18">
        <f>-F6*Assumptions!B10</f>
        <v>-3260547258.6955857</v>
      </c>
    </row>
    <row r="12" spans="1:6" x14ac:dyDescent="0.25">
      <c r="A12" t="s">
        <v>48</v>
      </c>
      <c r="B12" s="18">
        <f>-(B6-Assumptions!B29)*Assumptions!B11</f>
        <v>-73220587.53100313</v>
      </c>
      <c r="C12" s="18">
        <f>-(C6-B6)*Assumptions!B11</f>
        <v>-78554401.47309138</v>
      </c>
      <c r="D12" s="18">
        <f>-(D6-C6)*Assumptions!B11</f>
        <v>-84276761.48027045</v>
      </c>
      <c r="E12" s="18">
        <f>-(E6-D6)*Assumptions!B11</f>
        <v>-90415971.51033445</v>
      </c>
      <c r="F12" s="18">
        <f>-(F6-E6)*Assumptions!B11</f>
        <v>-97002397.34617023</v>
      </c>
    </row>
    <row r="13" spans="1:6" x14ac:dyDescent="0.25">
      <c r="A13" s="19" t="s">
        <v>49</v>
      </c>
      <c r="B13" s="20">
        <f>B9+B10+B11+B12</f>
        <v>-558568324.2210685</v>
      </c>
      <c r="C13" s="20">
        <f>C9+C10+C11+C12</f>
        <v>-599257693.3698435</v>
      </c>
      <c r="D13" s="20">
        <f>D9+D10+D11+D12</f>
        <v>-642911113.0920806</v>
      </c>
      <c r="E13" s="20">
        <f>E9+E10+E11+E12</f>
        <v>-689744502.0905232</v>
      </c>
      <c r="F13" s="20">
        <f>F9+F10+F11+F12</f>
        <v>-739989507.8434665</v>
      </c>
    </row>
    <row r="14" spans="1:6" x14ac:dyDescent="0.25">
      <c r="A14" t="s">
        <v>50</v>
      </c>
      <c r="B14" s="21">
        <f>1/(1+Assumptions!$B$26)^(1-0.5*Assumptions!$B$32)</f>
        <v>0.9706573868077498</v>
      </c>
      <c r="C14" s="21">
        <f>1/(1+Assumptions!$B$26)^(2-0.5*Assumptions!$B$32)</f>
        <v>0.9145298636044079</v>
      </c>
      <c r="D14" s="21">
        <f>1/(1+Assumptions!$B$26)^(3-0.5*Assumptions!$B$32)</f>
        <v>0.8616478716294453</v>
      </c>
      <c r="E14" s="21">
        <f>1/(1+Assumptions!$B$26)^(4-0.5*Assumptions!$B$32)</f>
        <v>0.8118237405145078</v>
      </c>
      <c r="F14" s="21">
        <f>1/(1+Assumptions!$B$26)^(5-0.5*Assumptions!$B$32)</f>
        <v>0.7648806517871805</v>
      </c>
    </row>
    <row r="15" spans="1:6" x14ac:dyDescent="0.25">
      <c r="A15" s="19" t="s">
        <v>51</v>
      </c>
      <c r="B15" s="20">
        <f>B13*B14</f>
        <v>-542178469.9420063</v>
      </c>
      <c r="C15" s="20">
        <f>C13*C14</f>
        <v>-548039056.581415</v>
      </c>
      <c r="D15" s="20">
        <f>D13*D14</f>
        <v>-553962992.2427089</v>
      </c>
      <c r="E15" s="20">
        <f>E13*E14</f>
        <v>-559950961.6864454</v>
      </c>
      <c r="F15" s="20">
        <f>F13*F14</f>
        <v>-566003657.0749855</v>
      </c>
    </row>
    <row r="17" spans="1:2" x14ac:dyDescent="0.25">
      <c r="A17" s="22" t="s">
        <v>52</v>
      </c>
      <c r="B17" s="23">
        <f>SUM(B15:F15)</f>
        <v>-2770135137.527561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-739989507.8434665</v>
      </c>
    </row>
    <row r="5" spans="1:2" x14ac:dyDescent="0.25">
      <c r="A5" t="s">
        <v>56</v>
      </c>
      <c r="B5" s="18">
        <f>IF(Assumptions!$B$33=0,B4,B4-Forecast!F11-Forecast!F10-Forecast!F12)</f>
        <v>1215071668.660833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0.4073446552644047</v>
      </c>
    </row>
    <row r="7" spans="1:2" x14ac:dyDescent="0.25">
      <c r="A7" t="s">
        <v>58</v>
      </c>
      <c r="B7" s="18">
        <f>-MAX(Forecast!F9,0)*B6</f>
        <v>-494952949.992192</v>
      </c>
    </row>
    <row r="8" spans="1:2" x14ac:dyDescent="0.25">
      <c r="A8" t="s">
        <v>59</v>
      </c>
      <c r="B8" s="18">
        <f>IF(OR(Assumptions!$B$33=0,Assumptions!B12&lt;=0),B5,MAX(B5+B7,0))</f>
        <v>720118718.6686409</v>
      </c>
    </row>
    <row r="9" spans="1:2" x14ac:dyDescent="0.25">
      <c r="A9" t="s">
        <v>60</v>
      </c>
      <c r="B9" s="18">
        <f>B8*(1+Assumptions!B12)/(Assumptions!B26-Assumptions!B12)</f>
        <v>20293070949.679867</v>
      </c>
    </row>
    <row r="10" spans="1:2" x14ac:dyDescent="0.25">
      <c r="A10" t="s">
        <v>61</v>
      </c>
      <c r="B10" s="18">
        <f>B9/(1+Assumptions!B26)^(5-0.5*Assumptions!B32)</f>
        <v>15521777334.754633</v>
      </c>
    </row>
    <row r="11" spans="1:2" x14ac:dyDescent="0.25">
      <c r="A11" t="s">
        <v>62</v>
      </c>
      <c r="B11" s="18">
        <f>Forecast!B17+B10</f>
        <v>12751642197.227072</v>
      </c>
    </row>
    <row r="12" spans="1:2" x14ac:dyDescent="0.25">
      <c r="A12" t="s">
        <v>63</v>
      </c>
      <c r="B12" s="18">
        <f>-Assumptions!B30</f>
        <v>-14293028000</v>
      </c>
    </row>
    <row r="13" spans="1:2" x14ac:dyDescent="0.25">
      <c r="A13" t="s">
        <v>64</v>
      </c>
      <c r="B13" s="18">
        <f>B11+B12</f>
        <v>-1541385802.7729282</v>
      </c>
    </row>
    <row r="14" spans="1:2" x14ac:dyDescent="0.25">
      <c r="A14" s="19" t="s">
        <v>65</v>
      </c>
      <c r="B14" s="24">
        <f>B13/Assumptions!B31</f>
        <v>-12.63731381043796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2810882835.0057197</v>
      </c>
    </row>
    <row r="18" spans="1:2" x14ac:dyDescent="0.25">
      <c r="A18" t="s">
        <v>60</v>
      </c>
      <c r="B18" s="18">
        <f>B17*Assumptions!B13</f>
        <v>35474703557.90994</v>
      </c>
    </row>
    <row r="19" spans="1:2" x14ac:dyDescent="0.25">
      <c r="A19" t="s">
        <v>61</v>
      </c>
      <c r="B19" s="18">
        <f>B18/(1+Assumptions!B26)^(5-0.5*Assumptions!B32)</f>
        <v>27133914379.331165</v>
      </c>
    </row>
    <row r="20" spans="1:2" x14ac:dyDescent="0.25">
      <c r="A20" t="s">
        <v>62</v>
      </c>
      <c r="B20" s="18">
        <f>Forecast!B17+B19</f>
        <v>24363779241.803604</v>
      </c>
    </row>
    <row r="21" spans="1:2" x14ac:dyDescent="0.25">
      <c r="A21" t="s">
        <v>63</v>
      </c>
      <c r="B21" s="18">
        <f>-Assumptions!B30</f>
        <v>-14293028000</v>
      </c>
    </row>
    <row r="22" spans="1:2" x14ac:dyDescent="0.25">
      <c r="A22" t="s">
        <v>64</v>
      </c>
      <c r="B22" s="18">
        <f>B20+B21</f>
        <v>10070751241.803604</v>
      </c>
    </row>
    <row r="23" spans="1:2" x14ac:dyDescent="0.25">
      <c r="A23" s="19" t="s">
        <v>65</v>
      </c>
      <c r="B23" s="25">
        <f>B22/Assumptions!B31</f>
        <v>82.56676785304379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94.21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-12.63731381043796</v>
      </c>
    </row>
    <row r="29" spans="1:2" x14ac:dyDescent="0.25">
      <c r="A29" s="19" t="s">
        <v>73</v>
      </c>
      <c r="B29" s="12">
        <f>B28/B26-1</f>
        <v>-1.1341398345232774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0.041373</v>
      </c>
      <c r="B5" s="31">
        <v>81.73938715875232</v>
      </c>
      <c r="C5" s="31">
        <v>95.23337056282524</v>
      </c>
      <c r="D5" s="31">
        <v>116.45740083448277</v>
      </c>
      <c r="E5" s="31">
        <v>155.60673894389708</v>
      </c>
      <c r="F5" s="31">
        <v>254.87181601712368</v>
      </c>
    </row>
    <row r="6" spans="1:6" x14ac:dyDescent="0.25">
      <c r="A6" s="30">
        <v>0.051373</v>
      </c>
      <c r="B6" s="31">
        <v>16.652058577306246</v>
      </c>
      <c r="C6" s="31">
        <v>17.425940492190133</v>
      </c>
      <c r="D6" s="31">
        <v>18.199822407073984</v>
      </c>
      <c r="E6" s="31">
        <v>18.973704321957868</v>
      </c>
      <c r="F6" s="31">
        <v>19.747586236841755</v>
      </c>
    </row>
    <row r="7" spans="1:6" x14ac:dyDescent="0.25">
      <c r="A7" s="30">
        <v>0.061373</v>
      </c>
      <c r="B7" s="31">
        <v>-13.878627766703948</v>
      </c>
      <c r="C7" s="31">
        <v>-13.257856220974752</v>
      </c>
      <c r="D7" s="32">
        <v>-12.637084675245617</v>
      </c>
      <c r="E7" s="31">
        <v>-12.016313129516435</v>
      </c>
      <c r="F7" s="31">
        <v>-11.39554158378727</v>
      </c>
    </row>
    <row r="8" spans="1:6" x14ac:dyDescent="0.25">
      <c r="A8" s="30">
        <v>0.071373</v>
      </c>
      <c r="B8" s="31">
        <v>-35.483525210113285</v>
      </c>
      <c r="C8" s="31">
        <v>-34.971786553593134</v>
      </c>
      <c r="D8" s="31">
        <v>-34.46004789707296</v>
      </c>
      <c r="E8" s="31">
        <v>-33.94830924055281</v>
      </c>
      <c r="F8" s="31">
        <v>-33.43657058403267</v>
      </c>
    </row>
    <row r="9" spans="1:6" x14ac:dyDescent="0.25">
      <c r="A9" s="30">
        <v>0.081373</v>
      </c>
      <c r="B9" s="31">
        <v>-51.47264357123096</v>
      </c>
      <c r="C9" s="31">
        <v>-51.042171342391654</v>
      </c>
      <c r="D9" s="31">
        <v>-50.6116991135524</v>
      </c>
      <c r="E9" s="31">
        <v>-50.1812268847131</v>
      </c>
      <c r="F9" s="31">
        <v>-49.75075465587382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5339939000</v>
      </c>
      <c r="C5" s="18">
        <v>5124915000</v>
      </c>
      <c r="D5" s="18">
        <v>4695991000</v>
      </c>
      <c r="E5" s="18">
        <v>4324385000</v>
      </c>
      <c r="F5" s="8" t="s">
        <v>84</v>
      </c>
    </row>
    <row r="6" spans="1:6" x14ac:dyDescent="0.25">
      <c r="A6" t="s">
        <v>44</v>
      </c>
      <c r="B6" s="18">
        <v>1067630000</v>
      </c>
      <c r="C6" s="18">
        <v>1012063000</v>
      </c>
      <c r="D6" s="18">
        <v>824640000</v>
      </c>
      <c r="E6" s="18">
        <v>731911000</v>
      </c>
      <c r="F6" s="8" t="s">
        <v>85</v>
      </c>
    </row>
    <row r="7" spans="1:6" x14ac:dyDescent="0.25">
      <c r="A7" t="s">
        <v>86</v>
      </c>
      <c r="B7" s="18">
        <v>969615000</v>
      </c>
      <c r="C7" s="18">
        <v>956184000</v>
      </c>
      <c r="D7" s="18">
        <v>854136000</v>
      </c>
      <c r="E7" s="18">
        <v>817814000</v>
      </c>
      <c r="F7" s="8" t="s">
        <v>87</v>
      </c>
    </row>
    <row r="8" spans="1:6" x14ac:dyDescent="0.25">
      <c r="A8" t="s">
        <v>88</v>
      </c>
      <c r="B8" s="18">
        <v>2624618000</v>
      </c>
      <c r="C8" s="18">
        <v>2249195000</v>
      </c>
      <c r="D8" s="18">
        <v>1846370000</v>
      </c>
      <c r="E8" s="18">
        <v>1707490000</v>
      </c>
      <c r="F8" s="8" t="s">
        <v>89</v>
      </c>
    </row>
    <row r="9" spans="1:6" x14ac:dyDescent="0.25">
      <c r="A9" t="s">
        <v>90</v>
      </c>
      <c r="B9" s="18">
        <v>-91075000</v>
      </c>
      <c r="C9" s="18">
        <v>80737000</v>
      </c>
      <c r="D9" s="18">
        <v>172364000</v>
      </c>
      <c r="E9" s="18">
        <v>13551000</v>
      </c>
      <c r="F9" s="8" t="s">
        <v>91</v>
      </c>
    </row>
    <row r="10" spans="1:6" x14ac:dyDescent="0.25">
      <c r="A10" t="s">
        <v>92</v>
      </c>
      <c r="B10" s="18">
        <v>14299632000</v>
      </c>
      <c r="C10" s="18">
        <v>11048342000</v>
      </c>
      <c r="D10" s="18">
        <v>10303194000</v>
      </c>
      <c r="E10" s="18">
        <v>8877148000</v>
      </c>
      <c r="F10" s="8" t="s">
        <v>93</v>
      </c>
    </row>
    <row r="11" spans="1:6" x14ac:dyDescent="0.25">
      <c r="A11" t="s">
        <v>94</v>
      </c>
      <c r="B11" s="18">
        <v>6604000</v>
      </c>
      <c r="C11" s="18">
        <v>3838000</v>
      </c>
      <c r="D11" s="18">
        <v>4955000</v>
      </c>
      <c r="E11" s="18">
        <v>4832000</v>
      </c>
      <c r="F11" s="8" t="s">
        <v>95</v>
      </c>
    </row>
    <row r="12" spans="1:6" x14ac:dyDescent="0.25">
      <c r="A12" t="s">
        <v>32</v>
      </c>
      <c r="B12" s="34">
        <v>121971000</v>
      </c>
      <c r="C12" s="34">
        <v>116232000</v>
      </c>
      <c r="D12" s="34">
        <v>113804000</v>
      </c>
      <c r="E12" s="34">
        <v>113416000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2026-09-19T00:07:44Z</dcterms:modified>
</cp:coreProperties>
</file>