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<sst xmlns="http://schemas.openxmlformats.org/spreadsheetml/2006/main" count="121" uniqueCount="108">
  <si>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Pinnacle West Capital Corporation (PNW)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</si>
  <si>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</si>
  <si>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</si>
  <si>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</si>
  <si>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</si>
  <si>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</si>
  <si>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</si>
  <si>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</si>
  <si>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</si>
  <si>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</si>
  <si>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</si>
  <si>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</si>
  <si>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</si>
  <si>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</si>
  <si>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</si>
  <si>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</si>
  <si>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</si>
  <si>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</si>
  <si>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</si>
  <si>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</si>
  <si>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</si>
  <si>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</si>
  <si>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</si>
  <si>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</si>
  <si>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2.5x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</si>
  <si>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</si>
  <si>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</si>
  <si>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</si>
  <si>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</si>
  <si>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</si>
  <si>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</si>
  <si>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</si>
  <si>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</si>
  <si>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</si>
  <si>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</si>
  <si>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</si>
  <si>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</si>
  <si>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</si>
  <si>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</si>
  <si>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</si>
  <si>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</si>
  <si>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</si>
  <si>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</si>
  <si>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</si>
  <si>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</si>
  <si>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</si>
  <si>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</si>
  <si>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</si>
  <si>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</si>
  <si>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</si>
  <si>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</si>
  <si>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</si>
  <si>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</si>
  <si>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</si>
  <si>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</si>
  <si>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</si>
  <si>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</si>
  <si>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</si>
  <si>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</si>
  <si>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</si>
  <si>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</si>
  <si>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</si>
  <si>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</si>
  <si>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</si>
  <si>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</si>
  <si>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</si>
  <si>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</si>
  <si>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</si>
  <si>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</si>
  <si>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</si>
  <si>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</si>
  <si>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</si>
  <si>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</si>
  <si>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</si>
  <si>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</si>
  <si>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</si>
  <si>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</si>
  <si>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</si>
  <si>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</si>
  <si>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</si>
  <si>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</si>
  <si>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</si>
  <si>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</si>
  <si>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</si>
  <si>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</si>
  <si>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</si>
  <si>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</si>
  <si>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</si>
  <si>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</si>
  <si>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</si>
  <si>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</si>
  <si>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</si>
  <si>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</si>
  <si>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</si>
  <si>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</si>
  <si>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</si>
  <si>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</si>
  <si>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</si>
  <si>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</si>
  <si>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</si>
  <si>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</si>
  <si>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</si>
  <si>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</si>
  <si>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</si>
  <si>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</si>
  <si>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</si>
  <si>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43.0% of revenue against depreciation of 18.5%.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</si>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</sst>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0.0389284989959624</v>
      </c>
    </row>
    <row r="7" spans="1:2" x14ac:dyDescent="0.25">
      <c r="A7" t="s">
        <v>4</v>
      </c>
      <c r="B7" s="5">
        <v>0.1855672821420852</v>
      </c>
    </row>
    <row r="8" spans="1:2" x14ac:dyDescent="0.25">
      <c r="A8" t="s">
        <v>5</v>
      </c>
      <c r="B8" s="5">
        <v>0.13726459926286366</v>
      </c>
    </row>
    <row r="9" spans="1:2" x14ac:dyDescent="0.25">
      <c r="A9" t="s">
        <v>6</v>
      </c>
      <c r="B9" s="5">
        <v>0.1847891354952366</v>
      </c>
    </row>
    <row r="10" spans="1:3" x14ac:dyDescent="0.25">
      <c r="A10" t="s">
        <v>7</v>
      </c>
      <c r="B10" s="5">
        <v>0.4296033215006736</v>
      </c>
      <c r="C10" s="6" t="s">
        <v>8</v>
      </c>
    </row>
    <row r="11" spans="1:2" x14ac:dyDescent="0.25">
      <c r="A11" t="s">
        <v>9</v>
      </c>
      <c r="B11" s="5">
        <v>0.10758066171313105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13.338537941190186</v>
      </c>
    </row>
    <row r="14" spans="1:3" x14ac:dyDescent="0.25">
      <c r="A14" t="s">
        <v>12</v>
      </c>
      <c r="B14" s="5">
        <v>0.06275376927268767</v>
      </c>
      <c r="C14" s="6" t="s">
        <v>13</v>
      </c>
    </row>
    <row r="15" spans="1:3" x14ac:dyDescent="0.25">
      <c r="A15" t="s">
        <v>14</v>
      </c>
      <c r="B15" s="5">
        <v>0.1847891354952366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0.61408</v>
      </c>
      <c r="C19" s="6" t="s">
        <v>21</v>
      </c>
    </row>
    <row r="20" spans="1:2" x14ac:dyDescent="0.25">
      <c r="A20" t="s">
        <v>22</v>
      </c>
      <c r="B20" s="9">
        <f>B17+B19*B18</f>
        <v>0.07491558400000001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12880841728</v>
      </c>
    </row>
    <row r="23" spans="1:2" x14ac:dyDescent="0.25">
      <c r="A23" t="s">
        <v>26</v>
      </c>
      <c r="B23" s="10">
        <v>14299632000</v>
      </c>
    </row>
    <row r="24" spans="1:2" x14ac:dyDescent="0.25">
      <c r="A24" t="s">
        <v>27</v>
      </c>
      <c r="B24" s="9">
        <f>B22/(B22+B23)</f>
        <v>0.4739005602662026</v>
      </c>
    </row>
    <row r="25" spans="1:2" x14ac:dyDescent="0.25">
      <c r="A25" t="s">
        <v>28</v>
      </c>
      <c r="B25" s="9">
        <f>1-B24</f>
        <v>0.5260994397337975</v>
      </c>
    </row>
    <row r="26" spans="1:2" x14ac:dyDescent="0.25">
      <c r="A26" t="s">
        <v>29</v>
      </c>
      <c r="B26" s="11">
        <f>B24*B20+B25*B21*(1-B8)</f>
        <v>0.06275376927268767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5339939000</v>
      </c>
      <c r="C29" s="6" t="s">
        <v>32</v>
      </c>
    </row>
    <row r="30" spans="1:2" x14ac:dyDescent="0.25">
      <c r="A30" t="s">
        <v>33</v>
      </c>
      <c r="B30" s="10">
        <v>14293028000</v>
      </c>
    </row>
    <row r="31" spans="1:2" x14ac:dyDescent="0.25">
      <c r="A31" t="s">
        <v>34</v>
      </c>
      <c r="B31" s="12">
        <v>121971000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0.0389284989959624</v>
      </c>
      <c r="C5" s="5">
        <v>0.07021590361989749</v>
      </c>
      <c r="D5" s="5">
        <v>0.06456391566741031</v>
      </c>
      <c r="E5" s="5">
        <v>0.05891192771492312</v>
      </c>
      <c r="F5" s="5">
        <v>0.05325993976243593</v>
      </c>
      <c r="G5" s="5">
        <v>0.04760795180994874</v>
      </c>
      <c r="H5" s="5">
        <v>0.04195596385746156</v>
      </c>
      <c r="I5" s="5">
        <v>0.036303975904974375</v>
      </c>
      <c r="J5" s="5">
        <v>0.030651987952487185</v>
      </c>
      <c r="K5" s="5">
        <v>0.025</v>
      </c>
    </row>
    <row r="6" spans="1:11" x14ac:dyDescent="0.25">
      <c r="A6" t="s">
        <v>50</v>
      </c>
      <c r="B6" s="18">
        <f>Assumptions!B29*(1+B5)</f>
        <v>5547814810</v>
      </c>
      <c r="C6" s="18">
        <f>B6*(1+C5)</f>
        <v>5937359640</v>
      </c>
      <c r="D6" s="18">
        <f>C6*(1+D5)</f>
        <v>6320698827.084045</v>
      </c>
      <c r="E6" s="18">
        <f>D6*(1+E5)</f>
        <v>6693063379.493019</v>
      </c>
      <c r="F6" s="18">
        <f>E6*(1+F5)</f>
        <v>7049535531.910984</v>
      </c>
      <c r="G6" s="18">
        <f>F6*(1+G5)</f>
        <v>7385149479.796724</v>
      </c>
      <c r="H6" s="18">
        <f>G6*(1+H5)</f>
        <v>7695000544.453027</v>
      </c>
      <c r="I6" s="18">
        <f>H6*(1+I5)</f>
        <v>7974359658.807614</v>
      </c>
      <c r="J6" s="18">
        <f>I6*(1+J5)</f>
        <v>8218789634.998185</v>
      </c>
      <c r="K6" s="18">
        <f>J6*(1+K5)</f>
        <v>8424259375.873139</v>
      </c>
    </row>
    <row r="7" spans="1:11" x14ac:dyDescent="0.25">
      <c r="A7" t="s">
        <v>4</v>
      </c>
      <c r="B7" s="9">
        <f>Assumptions!B7</f>
        <v>0.1855672821420852</v>
      </c>
      <c r="C7" s="9">
        <f>Assumptions!B7</f>
        <v>0.1855672821420852</v>
      </c>
      <c r="D7" s="9">
        <f>Assumptions!B7</f>
        <v>0.1855672821420852</v>
      </c>
      <c r="E7" s="9">
        <f>Assumptions!B7</f>
        <v>0.1855672821420852</v>
      </c>
      <c r="F7" s="9">
        <f>Assumptions!B7</f>
        <v>0.1855672821420852</v>
      </c>
      <c r="G7" s="9">
        <f>Assumptions!B7</f>
        <v>0.1855672821420852</v>
      </c>
      <c r="H7" s="9">
        <f>Assumptions!B7</f>
        <v>0.1855672821420852</v>
      </c>
      <c r="I7" s="9">
        <f>Assumptions!B7</f>
        <v>0.1855672821420852</v>
      </c>
      <c r="J7" s="9">
        <f>Assumptions!B7</f>
        <v>0.1855672821420852</v>
      </c>
      <c r="K7" s="9">
        <f>Assumptions!B7</f>
        <v>0.1855672821420852</v>
      </c>
    </row>
    <row r="8" spans="1:11" x14ac:dyDescent="0.25">
      <c r="A8" t="s">
        <v>51</v>
      </c>
      <c r="B8" s="18">
        <f>B6*B7</f>
        <v>1029492916.1193088</v>
      </c>
      <c r="C8" s="18">
        <f>C6*C7</f>
        <v>1101779691.4949095</v>
      </c>
      <c r="D8" s="18">
        <f>D6*D7</f>
        <v>1172914902.580652</v>
      </c>
      <c r="E8" s="18">
        <f>E6*E7</f>
        <v>1242013580.5372393</v>
      </c>
      <c r="F8" s="18">
        <f>F6*F7</f>
        <v>1308163149.0207803</v>
      </c>
      <c r="G8" s="18">
        <f>G6*G7</f>
        <v>1370442117.1789126</v>
      </c>
      <c r="H8" s="18">
        <f>H6*H7</f>
        <v>1427940337.116014</v>
      </c>
      <c r="I8" s="18">
        <f>I6*I7</f>
        <v>1479780248.7084148</v>
      </c>
      <c r="J8" s="18">
        <f>J6*J7</f>
        <v>1525138455.0641537</v>
      </c>
      <c r="K8" s="18">
        <f>K6*K7</f>
        <v>1563266916.4407575</v>
      </c>
    </row>
    <row r="9" spans="1:11" x14ac:dyDescent="0.25">
      <c r="A9" t="s">
        <v>52</v>
      </c>
      <c r="B9" s="18">
        <f>B8*(1-Assumptions!B8)</f>
        <v>888179983.544235</v>
      </c>
      <c r="C9" s="18">
        <f>C8*(1-Assumptions!B8)</f>
        <v>950544343.6658993</v>
      </c>
      <c r="D9" s="18">
        <f>D8*(1-Assumptions!B8)</f>
        <v>1011915208.508478</v>
      </c>
      <c r="E9" s="18">
        <f>E8*(1-Assumptions!B8)</f>
        <v>1071529084.1257608</v>
      </c>
      <c r="F9" s="18">
        <f>F8*(1-Assumptions!B8)</f>
        <v>1128598658.5999973</v>
      </c>
      <c r="G9" s="18">
        <f>G8*(1-Assumptions!B8)</f>
        <v>1182328929.151399</v>
      </c>
      <c r="H9" s="18">
        <f>H8*(1-Assumptions!B8)</f>
        <v>1231934678.970506</v>
      </c>
      <c r="I9" s="18">
        <f>I8*(1-Assumptions!B8)</f>
        <v>1276658805.8723536</v>
      </c>
      <c r="J9" s="18">
        <f>J8*(1-Assumptions!B8)</f>
        <v>1315790936.2093897</v>
      </c>
      <c r="K9" s="18">
        <f>K8*(1-Assumptions!B8)</f>
        <v>1348685709.6146245</v>
      </c>
    </row>
    <row r="10" spans="1:11" x14ac:dyDescent="0.25">
      <c r="A10" t="s">
        <v>53</v>
      </c>
      <c r="B10" s="18">
        <f>B6*Assumptions!B9</f>
        <v>1025175902.6275703</v>
      </c>
      <c r="C10" s="18">
        <f>C6*Assumptions!B9</f>
        <v>1097159554.9999092</v>
      </c>
      <c r="D10" s="18">
        <f>D6*Assumptions!B9</f>
        <v>1167996471.9826167</v>
      </c>
      <c r="E10" s="18">
        <f>E6*Assumptions!B9</f>
        <v>1236805395.7113416</v>
      </c>
      <c r="F10" s="18">
        <f>F6*Assumptions!B9</f>
        <v>1302677576.5847836</v>
      </c>
      <c r="G10" s="18">
        <f>G6*Assumptions!B9</f>
        <v>1364695387.874733</v>
      </c>
      <c r="H10" s="18">
        <f>H6*Assumptions!B9</f>
        <v>1421952498.2448497</v>
      </c>
      <c r="I10" s="18">
        <f>I6*Assumptions!B9</f>
        <v>1473575027.4791489</v>
      </c>
      <c r="J10" s="18">
        <f>J6*Assumptions!B9</f>
        <v>1518743031.4685256</v>
      </c>
      <c r="K10" s="18">
        <f>K6*Assumptions!B9</f>
        <v>1556711607.2552388</v>
      </c>
    </row>
    <row r="11" spans="1:11" x14ac:dyDescent="0.25">
      <c r="A11" t="s">
        <v>54</v>
      </c>
      <c r="B11" s="18">
        <f>-B6*B19</f>
        <v>-2383359669.4466286</v>
      </c>
      <c r="C11" s="18">
        <f>-C6*C19</f>
        <v>-2431279456.94136</v>
      </c>
      <c r="D11" s="18">
        <f>-D6*D19</f>
        <v>-2461111547.20574</v>
      </c>
      <c r="E11" s="18">
        <f>-E6*E19</f>
        <v>-2471469429.737268</v>
      </c>
      <c r="F11" s="18">
        <f>-F6*F19</f>
        <v>-2461298363.737711</v>
      </c>
      <c r="G11" s="18">
        <f>-G6*G19</f>
        <v>-2429923485.4606414</v>
      </c>
      <c r="H11" s="18">
        <f>-H6*H19</f>
        <v>-2377088362.3023276</v>
      </c>
      <c r="I11" s="18">
        <f>-I6*I19</f>
        <v>-2302981908.3757825</v>
      </c>
      <c r="J11" s="18">
        <f>-J6*J19</f>
        <v>-2208251961.5397677</v>
      </c>
      <c r="K11" s="18">
        <f>-K6*K19</f>
        <v>-2094004317.0182576</v>
      </c>
    </row>
    <row r="12" spans="1:11" x14ac:dyDescent="0.25">
      <c r="A12" t="s">
        <v>55</v>
      </c>
      <c r="B12" s="18">
        <f>-(B6-Assumptions!B29)*Assumptions!B11</f>
        <v>-22363417.193953104</v>
      </c>
      <c r="C12" s="18">
        <f>-(C6-B6)*Assumptions!B11</f>
        <v>-41907490.578329146</v>
      </c>
      <c r="D12" s="18">
        <f>-(D6-C6)*Assumptions!B11</f>
        <v>-41239883.407075346</v>
      </c>
      <c r="E12" s="18">
        <f>-(E6-D6)*Assumptions!B11</f>
        <v>-40059224.946671255</v>
      </c>
      <c r="F12" s="18">
        <f>-(F6-E6)*Assumptions!B11</f>
        <v>-38349510.03942878</v>
      </c>
      <c r="G12" s="18">
        <f>-(G6-F6)*Assumptions!B11</f>
        <v>-36105570.593704216</v>
      </c>
      <c r="H12" s="18">
        <f>-(H6-G6)*Assumptions!B11</f>
        <v>-33333982.568243172</v>
      </c>
      <c r="I12" s="18">
        <f>-(I6-H6)*Assumptions!B11</f>
        <v>-30053638.377860777</v>
      </c>
      <c r="J12" s="18">
        <f>-(J6-I6)*Assumptions!B11</f>
        <v>-26295938.581106476</v>
      </c>
      <c r="K12" s="18">
        <f>-(K6-J6)*Assumptions!B11</f>
        <v>-22104570.685353145</v>
      </c>
    </row>
    <row r="13" spans="1:11" x14ac:dyDescent="0.25">
      <c r="A13" s="19" t="s">
        <v>56</v>
      </c>
      <c r="B13" s="20">
        <f>B9+B10+B11+B12</f>
        <v>-492367200.4687763</v>
      </c>
      <c r="C13" s="20">
        <f>C9+C10+C11+C12</f>
        <v>-425483048.8538807</v>
      </c>
      <c r="D13" s="20">
        <f>D9+D10+D11+D12</f>
        <v>-322439750.12172073</v>
      </c>
      <c r="E13" s="20">
        <f>E9+E10+E11+E12</f>
        <v>-203194174.8468368</v>
      </c>
      <c r="F13" s="20">
        <f>F9+F10+F11+F12</f>
        <v>-68371638.59235865</v>
      </c>
      <c r="G13" s="20">
        <f>G9+G10+G11+G12</f>
        <v>80995260.97178602</v>
      </c>
      <c r="H13" s="20">
        <f>H9+H10+H11+H12</f>
        <v>243464832.34478506</v>
      </c>
      <c r="I13" s="20">
        <f>I9+I10+I11+I12</f>
        <v>417198286.59785914</v>
      </c>
      <c r="J13" s="20">
        <f>J9+J10+J11+J12</f>
        <v>599986067.5570414</v>
      </c>
      <c r="K13" s="20">
        <f>K9+K10+K11+K12</f>
        <v>789288429.1662527</v>
      </c>
    </row>
    <row r="14" spans="1:11" x14ac:dyDescent="0.25">
      <c r="A14" t="s">
        <v>57</v>
      </c>
      <c r="B14" s="21">
        <f>1/(1+Assumptions!$B$26)^(1-0.5*Assumptions!$B$32)</f>
        <v>0.9700266656678278</v>
      </c>
      <c r="C14" s="21">
        <f>1/(1+Assumptions!$B$26)^(2-0.5*Assumptions!$B$32)</f>
        <v>0.9127482712497751</v>
      </c>
      <c r="D14" s="21">
        <f>1/(1+Assumptions!$B$26)^(3-0.5*Assumptions!$B$32)</f>
        <v>0.8588520668098206</v>
      </c>
      <c r="E14" s="21">
        <f>1/(1+Assumptions!$B$26)^(4-0.5*Assumptions!$B$32)</f>
        <v>0.8081383398880717</v>
      </c>
      <c r="F14" s="21">
        <f>1/(1+Assumptions!$B$26)^(5-0.5*Assumptions!$B$32)</f>
        <v>0.7604191706994688</v>
      </c>
      <c r="G14" s="21">
        <f>1/(1+Assumptions!$B$26)^(6-0.5*Assumptions!$B$32)</f>
        <v>0.715517735796763</v>
      </c>
      <c r="H14" s="21">
        <f>1/(1+Assumptions!$B$26)^(7-0.5*Assumptions!$B$32)</f>
        <v>0.6732676528509881</v>
      </c>
      <c r="I14" s="21">
        <f>1/(1+Assumptions!$B$26)^(8-0.5*Assumptions!$B$32)</f>
        <v>0.6335123641215119</v>
      </c>
      <c r="J14" s="21">
        <f>1/(1+Assumptions!$B$26)^(9-0.5*Assumptions!$B$32)</f>
        <v>0.5961045563311115</v>
      </c>
      <c r="K14" s="21">
        <f>1/(1+Assumptions!$B$26)^(10-0.5*Assumptions!$B$32)</f>
        <v>0.5609056147964219</v>
      </c>
    </row>
    <row r="15" spans="1:11" x14ac:dyDescent="0.25">
      <c r="A15" s="19" t="s">
        <v>58</v>
      </c>
      <c r="B15" s="20">
        <f>B13*B14</f>
        <v>-477609313.75493</v>
      </c>
      <c r="C15" s="20">
        <f>C13*C14</f>
        <v>-388358917.2874632</v>
      </c>
      <c r="D15" s="20">
        <f>D13*D14</f>
        <v>-276928045.81368196</v>
      </c>
      <c r="E15" s="20">
        <f>E13*E14</f>
        <v>-164209003.13564926</v>
      </c>
      <c r="F15" s="20">
        <f>F13*F14</f>
        <v>-51991104.71776516</v>
      </c>
      <c r="G15" s="20">
        <f>G13*G14</f>
        <v>57953545.74080026</v>
      </c>
      <c r="H15" s="20">
        <f>H13*H14</f>
        <v>163916996.22453278</v>
      </c>
      <c r="I15" s="20">
        <f>I13*I14</f>
        <v>264300272.85005382</v>
      </c>
      <c r="J15" s="20">
        <f>J13*J14</f>
        <v>357654428.60593843</v>
      </c>
      <c r="K15" s="20">
        <f>K13*K14</f>
        <v>442716311.61319906</v>
      </c>
    </row>
    <row r="17" spans="1:2" x14ac:dyDescent="0.25">
      <c r="A17" s="22" t="s">
        <v>59</v>
      </c>
      <c r="B17" s="23">
        <f>SUM(B15:K15)</f>
        <v>-72554829.67496532</v>
      </c>
    </row>
    <row r="19" spans="1:11" x14ac:dyDescent="0.25">
      <c r="A19" t="s">
        <v>7</v>
      </c>
      <c r="B19" s="9">
        <f>Assumptions!$B$10+($B$20-Assumptions!$B$10)*0/9</f>
        <v>0.4296033215006736</v>
      </c>
      <c r="C19" s="9">
        <f>Assumptions!$B$10+($B$20-Assumptions!$B$10)*1/9</f>
        <v>0.4094883255111964</v>
      </c>
      <c r="D19" s="9">
        <f>Assumptions!$B$10+($B$20-Assumptions!$B$10)*2/9</f>
        <v>0.3893733295217192</v>
      </c>
      <c r="E19" s="9">
        <f>Assumptions!$B$10+($B$20-Assumptions!$B$10)*3/9</f>
        <v>0.369258333532242</v>
      </c>
      <c r="F19" s="9">
        <f>Assumptions!$B$10+($B$20-Assumptions!$B$10)*4/9</f>
        <v>0.34914333754276483</v>
      </c>
      <c r="G19" s="9">
        <f>Assumptions!$B$10+($B$20-Assumptions!$B$10)*5/9</f>
        <v>0.32902834155328764</v>
      </c>
      <c r="H19" s="9">
        <f>Assumptions!$B$10+($B$20-Assumptions!$B$10)*6/9</f>
        <v>0.30891334556381045</v>
      </c>
      <c r="I19" s="9">
        <f>Assumptions!$B$10+($B$20-Assumptions!$B$10)*7/9</f>
        <v>0.28879834957433326</v>
      </c>
      <c r="J19" s="9">
        <f>Assumptions!$B$10+($B$20-Assumptions!$B$10)*8/9</f>
        <v>0.26868335358485607</v>
      </c>
      <c r="K19" s="9">
        <f>Assumptions!$B$10+($B$20-Assumptions!$B$10)*9/9</f>
        <v>0.24856835759537885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0.24856835759537885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789288429.1662527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1348685709.6146245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0.39838244442921067</v>
      </c>
    </row>
    <row r="7" spans="1:2" x14ac:dyDescent="0.25">
      <c r="A7" t="s">
        <v>66</v>
      </c>
      <c r="B7" s="18">
        <f>-MAX(B5,0)*B6</f>
        <v>-537292709.7630187</v>
      </c>
    </row>
    <row r="8" spans="1:2" x14ac:dyDescent="0.25">
      <c r="A8" t="s">
        <v>67</v>
      </c>
      <c r="B8" s="18">
        <f>IF(OR(Assumptions!$B$33=0,Assumptions!B12&lt;=0),B5,MAX(B5+B7,0))</f>
        <v>811392999.8516058</v>
      </c>
    </row>
    <row r="9" spans="1:2" x14ac:dyDescent="0.25">
      <c r="A9" t="s">
        <v>68</v>
      </c>
      <c r="B9" s="18">
        <f>B8*(1+Assumptions!B12)/(Assumptions!B26-Assumptions!B12)</f>
        <v>22029001100.283764</v>
      </c>
    </row>
    <row r="10" spans="1:2" x14ac:dyDescent="0.25">
      <c r="A10" t="s">
        <v>69</v>
      </c>
      <c r="B10" s="18">
        <f>B9/(1+Assumptions!B26)^(10-0.5*Assumptions!B32)</f>
        <v>12356190405.505718</v>
      </c>
    </row>
    <row r="11" spans="1:2" x14ac:dyDescent="0.25">
      <c r="A11" t="s">
        <v>70</v>
      </c>
      <c r="B11" s="18">
        <f>Forecast!B17+B10</f>
        <v>12283635575.830753</v>
      </c>
    </row>
    <row r="12" spans="1:2" x14ac:dyDescent="0.25">
      <c r="A12" t="s">
        <v>71</v>
      </c>
      <c r="B12" s="18">
        <f>-Assumptions!B30</f>
        <v>-14293028000</v>
      </c>
    </row>
    <row r="13" spans="1:2" x14ac:dyDescent="0.25">
      <c r="A13" t="s">
        <v>72</v>
      </c>
      <c r="B13" s="18">
        <f>B11+B12</f>
        <v>-2009392424.1692467</v>
      </c>
    </row>
    <row r="14" spans="1:2" x14ac:dyDescent="0.25">
      <c r="A14" s="19" t="s">
        <v>73</v>
      </c>
      <c r="B14" s="24">
        <f>B13/Assumptions!B31</f>
        <v>-16.474345739308905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3119978523.6959963</v>
      </c>
    </row>
    <row r="18" spans="1:2" x14ac:dyDescent="0.25">
      <c r="A18" t="s">
        <v>68</v>
      </c>
      <c r="B18" s="18">
        <f>B17*Assumptions!B13</f>
        <v>41615951914.01759</v>
      </c>
    </row>
    <row r="19" spans="1:2" x14ac:dyDescent="0.25">
      <c r="A19" t="s">
        <v>69</v>
      </c>
      <c r="B19" s="18">
        <f>B18/(1+Assumptions!B26)^(10-0.5*Assumptions!B32)</f>
        <v>23342621093.67037</v>
      </c>
    </row>
    <row r="20" spans="1:2" x14ac:dyDescent="0.25">
      <c r="A20" t="s">
        <v>70</v>
      </c>
      <c r="B20" s="18">
        <f>Forecast!B17+B19</f>
        <v>23270066263.995403</v>
      </c>
    </row>
    <row r="21" spans="1:2" x14ac:dyDescent="0.25">
      <c r="A21" t="s">
        <v>71</v>
      </c>
      <c r="B21" s="18">
        <f>-Assumptions!B30</f>
        <v>-14293028000</v>
      </c>
    </row>
    <row r="22" spans="1:2" x14ac:dyDescent="0.25">
      <c r="A22" t="s">
        <v>72</v>
      </c>
      <c r="B22" s="18">
        <f>B20+B21</f>
        <v>8977038263.995403</v>
      </c>
    </row>
    <row r="23" spans="1:2" x14ac:dyDescent="0.25">
      <c r="A23" s="19" t="s">
        <v>73</v>
      </c>
      <c r="B23" s="25">
        <f>B22/Assumptions!B31</f>
        <v>73.5997758811144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106.28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-16.474345739308905</v>
      </c>
    </row>
    <row r="29" spans="1:2" x14ac:dyDescent="0.25">
      <c r="A29" s="19" t="s">
        <v>81</v>
      </c>
      <c r="B29" s="11">
        <f>B28/B26-1</f>
        <v>-1.155008898563313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0.042754</v>
      </c>
      <c r="B5" s="31">
        <v>76.7136576312281</v>
      </c>
      <c r="C5" s="31">
        <v>82.05230313364683</v>
      </c>
      <c r="D5" s="31">
        <v>92.13034127738379</v>
      </c>
      <c r="E5" s="31">
        <v>112.52177940286347</v>
      </c>
      <c r="F5" s="31">
        <v>163.17773947631488</v>
      </c>
    </row>
    <row r="6" spans="1:6" x14ac:dyDescent="0.25">
      <c r="A6" s="30">
        <v>0.052754</v>
      </c>
      <c r="B6" s="31">
        <v>17.491769726495157</v>
      </c>
      <c r="C6" s="31">
        <v>14.767561840132355</v>
      </c>
      <c r="D6" s="31">
        <v>12.043353953769476</v>
      </c>
      <c r="E6" s="31">
        <v>9.319146067406628</v>
      </c>
      <c r="F6" s="31">
        <v>6.594938181043825</v>
      </c>
    </row>
    <row r="7" spans="1:6" x14ac:dyDescent="0.25">
      <c r="A7" s="30">
        <v>0.062754</v>
      </c>
      <c r="B7" s="31">
        <v>-12.152039164955761</v>
      </c>
      <c r="C7" s="31">
        <v>-14.313466121614786</v>
      </c>
      <c r="D7" s="32">
        <v>-16.47489307827386</v>
      </c>
      <c r="E7" s="31">
        <v>-18.63632003493287</v>
      </c>
      <c r="F7" s="31">
        <v>-20.79774699159194</v>
      </c>
    </row>
    <row r="8" spans="1:6" x14ac:dyDescent="0.25">
      <c r="A8" s="30">
        <v>0.072754</v>
      </c>
      <c r="B8" s="31">
        <v>-33.208700303948476</v>
      </c>
      <c r="C8" s="31">
        <v>-34.9698519006315</v>
      </c>
      <c r="D8" s="31">
        <v>-36.73100349731455</v>
      </c>
      <c r="E8" s="31">
        <v>-38.492155093997575</v>
      </c>
      <c r="F8" s="31">
        <v>-40.253306690680596</v>
      </c>
    </row>
    <row r="9" spans="1:6" x14ac:dyDescent="0.25">
      <c r="A9" s="30">
        <v>0.082754</v>
      </c>
      <c r="B9" s="31">
        <v>-48.821211761394885</v>
      </c>
      <c r="C9" s="31">
        <v>-50.28512204675983</v>
      </c>
      <c r="D9" s="31">
        <v>-51.74903233212479</v>
      </c>
      <c r="E9" s="31">
        <v>-53.212942617489716</v>
      </c>
      <c r="F9" s="31">
        <v>-54.67685290285467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5339939000</v>
      </c>
      <c r="C5" s="18">
        <v>5124915000</v>
      </c>
      <c r="D5" s="18">
        <v>4695991000</v>
      </c>
      <c r="E5" s="18">
        <v>4324385000</v>
      </c>
      <c r="F5" s="6" t="s">
        <v>91</v>
      </c>
    </row>
    <row r="6" spans="1:6" x14ac:dyDescent="0.25">
      <c r="A6" t="s">
        <v>51</v>
      </c>
      <c r="B6" s="18">
        <v>1067630000</v>
      </c>
      <c r="C6" s="18">
        <v>1012063000</v>
      </c>
      <c r="D6" s="18">
        <v>824640000</v>
      </c>
      <c r="E6" s="18">
        <v>731911000</v>
      </c>
      <c r="F6" s="6" t="s">
        <v>92</v>
      </c>
    </row>
    <row r="7" spans="1:6" x14ac:dyDescent="0.25">
      <c r="A7" t="s">
        <v>93</v>
      </c>
      <c r="B7" s="18">
        <v>969615000</v>
      </c>
      <c r="C7" s="18">
        <v>956184000</v>
      </c>
      <c r="D7" s="18">
        <v>854136000</v>
      </c>
      <c r="E7" s="18">
        <v>817814000</v>
      </c>
      <c r="F7" s="6" t="s">
        <v>94</v>
      </c>
    </row>
    <row r="8" spans="1:6" x14ac:dyDescent="0.25">
      <c r="A8" t="s">
        <v>95</v>
      </c>
      <c r="B8" s="18">
        <v>2624618000</v>
      </c>
      <c r="C8" s="18">
        <v>2249195000</v>
      </c>
      <c r="D8" s="18">
        <v>1846370000</v>
      </c>
      <c r="E8" s="18">
        <v>1707490000</v>
      </c>
      <c r="F8" s="6" t="s">
        <v>96</v>
      </c>
    </row>
    <row r="9" spans="1:6" x14ac:dyDescent="0.25">
      <c r="A9" t="s">
        <v>97</v>
      </c>
      <c r="B9" s="18">
        <v>-91075000</v>
      </c>
      <c r="C9" s="18">
        <v>80737000</v>
      </c>
      <c r="D9" s="18">
        <v>172364000</v>
      </c>
      <c r="E9" s="18">
        <v>13551000</v>
      </c>
      <c r="F9" s="6" t="s">
        <v>98</v>
      </c>
    </row>
    <row r="10" spans="1:6" x14ac:dyDescent="0.25">
      <c r="A10" t="s">
        <v>99</v>
      </c>
      <c r="B10" s="18">
        <v>14299632000</v>
      </c>
      <c r="C10" s="18">
        <v>11048342000</v>
      </c>
      <c r="D10" s="18">
        <v>10303194000</v>
      </c>
      <c r="E10" s="18">
        <v>8877148000</v>
      </c>
      <c r="F10" s="6" t="s">
        <v>100</v>
      </c>
    </row>
    <row r="11" spans="1:6" x14ac:dyDescent="0.25">
      <c r="A11" t="s">
        <v>101</v>
      </c>
      <c r="B11" s="18">
        <v>6604000</v>
      </c>
      <c r="C11" s="18">
        <v>3838000</v>
      </c>
      <c r="D11" s="18">
        <v>4955000</v>
      </c>
      <c r="E11" s="18">
        <v>4832000</v>
      </c>
      <c r="F11" s="6" t="s">
        <v>102</v>
      </c>
    </row>
    <row r="12" spans="1:6" x14ac:dyDescent="0.25">
      <c r="A12" t="s">
        <v>34</v>
      </c>
      <c r="B12" s="34">
        <v>121971000</v>
      </c>
      <c r="C12" s="34">
        <v>116232000</v>
      </c>
      <c r="D12" s="34">
        <v>113804000</v>
      </c>
      <c r="E12" s="34">
        <v>113416000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