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<sst xmlns="http://schemas.openxmlformats.org/spreadsheetml/2006/main" count="121" uniqueCount="108">
  <si>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Insulet Corporation (PODD)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</si>
  <si>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</si>
  <si>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</si>
  <si>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</si>
  <si>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</si>
  <si>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</si>
  <si>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</si>
  <si>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</si>
  <si>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</si>
  <si>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</si>
  <si>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</si>
  <si>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</si>
  <si>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</si>
  <si>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</si>
  <si>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</si>
  <si>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</si>
  <si>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</si>
  <si>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</si>
  <si>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</si>
  <si>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</si>
  <si>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</si>
  <si>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</si>
  <si>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</si>
  <si>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</si>
  <si>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8.0x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</si>
  <si>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</si>
  <si>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</si>
  <si>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</si>
  <si>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</si>
  <si>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</si>
  <si>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</si>
  <si>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</si>
  <si>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</si>
  <si>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</si>
  <si>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</si>
  <si>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</si>
  <si>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</si>
  <si>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</si>
  <si>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</si>
  <si>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</si>
  <si>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</si>
  <si>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</si>
  <si>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</si>
  <si>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</si>
  <si>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</si>
  <si>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</si>
  <si>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</si>
  <si>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</si>
  <si>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</si>
  <si>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</si>
  <si>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</si>
  <si>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</si>
  <si>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</si>
  <si>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</si>
  <si>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</si>
  <si>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</si>
  <si>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</si>
  <si>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</si>
  <si>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</si>
  <si>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</si>
  <si>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</si>
  <si>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</si>
  <si>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</si>
  <si>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</si>
  <si>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</si>
  <si>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</si>
  <si>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</si>
  <si>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</si>
  <si>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</si>
  <si>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</si>
  <si>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</si>
  <si>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</si>
  <si>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</si>
  <si>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</si>
  <si>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</si>
  <si>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</si>
  <si>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</si>
  <si>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</si>
  <si>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</si>
  <si>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</si>
  <si>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</si>
  <si>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</si>
  <si>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</si>
  <si>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</si>
  <si>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</si>
  <si>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</si>
  <si>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</si>
  <si>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</si>
  <si>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</si>
  <si>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</si>
  <si>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</si>
  <si>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</si>
  <si>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</si>
  <si>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</si>
  <si>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</si>
  <si>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</si>
  <si>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</si>
  <si>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</si>
  <si>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</si>
  <si>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</si>
  <si>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</si>
  <si>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</si>
  <si>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</si>
  <si>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</si>
  <si>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</si>
  <si>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</si>
  <si>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8.3% of revenue against depreciation of 4.1%.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</si>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</sst>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0.21367643366197697</v>
      </c>
    </row>
    <row r="7" spans="1:2" x14ac:dyDescent="0.25">
      <c r="A7" t="s">
        <v>4</v>
      </c>
      <c r="B7" s="5">
        <v>0.1206414687690235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0.04092492511967552</v>
      </c>
    </row>
    <row r="10" spans="1:3" x14ac:dyDescent="0.25">
      <c r="A10" t="s">
        <v>7</v>
      </c>
      <c r="B10" s="5">
        <v>0.08263856678848222</v>
      </c>
      <c r="C10" s="6" t="s">
        <v>8</v>
      </c>
    </row>
    <row r="11" spans="1:2" x14ac:dyDescent="0.25">
      <c r="A11" t="s">
        <v>9</v>
      </c>
      <c r="B11" s="5">
        <v>0.3847786070149611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18.812541992201346</v>
      </c>
    </row>
    <row r="14" spans="1:3" x14ac:dyDescent="0.25">
      <c r="A14" t="s">
        <v>12</v>
      </c>
      <c r="B14" s="5">
        <v>0.08982189024091519</v>
      </c>
      <c r="C14" s="6" t="s">
        <v>13</v>
      </c>
    </row>
    <row r="15" spans="1:3" x14ac:dyDescent="0.25">
      <c r="A15" t="s">
        <v>14</v>
      </c>
      <c r="B15" s="5">
        <v>0.04092492511967552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1.0676700000000001</v>
      </c>
      <c r="C19" s="6" t="s">
        <v>21</v>
      </c>
    </row>
    <row r="20" spans="1:2" x14ac:dyDescent="0.25">
      <c r="A20" t="s">
        <v>22</v>
      </c>
      <c r="B20" s="9">
        <f>B17+B19*B18</f>
        <v>0.09410244100000001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10380936192</v>
      </c>
    </row>
    <row r="23" spans="1:2" x14ac:dyDescent="0.25">
      <c r="A23" t="s">
        <v>26</v>
      </c>
      <c r="B23" s="10">
        <v>949200000</v>
      </c>
    </row>
    <row r="24" spans="1:2" x14ac:dyDescent="0.25">
      <c r="A24" t="s">
        <v>27</v>
      </c>
      <c r="B24" s="9">
        <f>B22/(B22+B23)</f>
        <v>0.9162234253926963</v>
      </c>
    </row>
    <row r="25" spans="1:2" x14ac:dyDescent="0.25">
      <c r="A25" t="s">
        <v>28</v>
      </c>
      <c r="B25" s="9">
        <f>1-B24</f>
        <v>0.0837765746073037</v>
      </c>
    </row>
    <row r="26" spans="1:2" x14ac:dyDescent="0.25">
      <c r="A26" t="s">
        <v>29</v>
      </c>
      <c r="B26" s="11">
        <f>B24*B20+B25*B21*(1-B8)</f>
        <v>0.08982189024091519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2708100000</v>
      </c>
      <c r="C29" s="6" t="s">
        <v>32</v>
      </c>
    </row>
    <row r="30" spans="1:2" x14ac:dyDescent="0.25">
      <c r="A30" t="s">
        <v>33</v>
      </c>
      <c r="B30" s="10">
        <v>233100000</v>
      </c>
    </row>
    <row r="31" spans="1:2" x14ac:dyDescent="0.25">
      <c r="A31" t="s">
        <v>34</v>
      </c>
      <c r="B31" s="12">
        <v>71886000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0.21367643366197697</v>
      </c>
      <c r="C5" s="5">
        <v>0.1357412031491283</v>
      </c>
      <c r="D5" s="5">
        <v>0.12189855275548726</v>
      </c>
      <c r="E5" s="5">
        <v>0.10805590236184623</v>
      </c>
      <c r="F5" s="5">
        <v>0.09421325196820518</v>
      </c>
      <c r="G5" s="5">
        <v>0.08037060157456415</v>
      </c>
      <c r="H5" s="5">
        <v>0.06652795118092311</v>
      </c>
      <c r="I5" s="5">
        <v>0.05268530078728206</v>
      </c>
      <c r="J5" s="5">
        <v>0.03884265039364103</v>
      </c>
      <c r="K5" s="5">
        <v>0.024999999999999994</v>
      </c>
    </row>
    <row r="6" spans="1:11" x14ac:dyDescent="0.25">
      <c r="A6" t="s">
        <v>50</v>
      </c>
      <c r="B6" s="18">
        <f>Assumptions!B29*(1+B5)</f>
        <v>3286757150</v>
      </c>
      <c r="C6" s="18">
        <f>B6*(1+C5)</f>
        <v>3732905520</v>
      </c>
      <c r="D6" s="18">
        <f>C6*(1+D5)</f>
        <v>4187941300.4609694</v>
      </c>
      <c r="E6" s="18">
        <f>D6*(1+E5)</f>
        <v>4640473076.720723</v>
      </c>
      <c r="F6" s="18">
        <f>E6*(1+F5)</f>
        <v>5077667135.949486</v>
      </c>
      <c r="G6" s="18">
        <f>F6*(1+G5)</f>
        <v>5485762298.261141</v>
      </c>
      <c r="H6" s="18">
        <f>G6*(1+H5)</f>
        <v>5850718824.630007</v>
      </c>
      <c r="I6" s="18">
        <f>H6*(1+I5)</f>
        <v>6158965705.727452</v>
      </c>
      <c r="J6" s="18">
        <f>I6*(1+J5)</f>
        <v>6398196257.421448</v>
      </c>
      <c r="K6" s="18">
        <f>J6*(1+K5)</f>
        <v>6558151163.856983</v>
      </c>
    </row>
    <row r="7" spans="1:11" x14ac:dyDescent="0.25">
      <c r="A7" t="s">
        <v>4</v>
      </c>
      <c r="B7" s="9">
        <f>Assumptions!B7</f>
        <v>0.1206414687690235</v>
      </c>
      <c r="C7" s="9">
        <f>Assumptions!B7</f>
        <v>0.1206414687690235</v>
      </c>
      <c r="D7" s="9">
        <f>Assumptions!B7</f>
        <v>0.1206414687690235</v>
      </c>
      <c r="E7" s="9">
        <f>Assumptions!B7</f>
        <v>0.1206414687690235</v>
      </c>
      <c r="F7" s="9">
        <f>Assumptions!B7</f>
        <v>0.1206414687690235</v>
      </c>
      <c r="G7" s="9">
        <f>Assumptions!B7</f>
        <v>0.1206414687690235</v>
      </c>
      <c r="H7" s="9">
        <f>Assumptions!B7</f>
        <v>0.1206414687690235</v>
      </c>
      <c r="I7" s="9">
        <f>Assumptions!B7</f>
        <v>0.1206414687690235</v>
      </c>
      <c r="J7" s="9">
        <f>Assumptions!B7</f>
        <v>0.1206414687690235</v>
      </c>
      <c r="K7" s="9">
        <f>Assumptions!B7</f>
        <v>0.1206414687690235</v>
      </c>
    </row>
    <row r="8" spans="1:11" x14ac:dyDescent="0.25">
      <c r="A8" t="s">
        <v>51</v>
      </c>
      <c r="B8" s="18">
        <f>B6*B7</f>
        <v>396519210.06308967</v>
      </c>
      <c r="C8" s="18">
        <f>C6*C7</f>
        <v>450343204.7087954</v>
      </c>
      <c r="D8" s="18">
        <f>D6*D7</f>
        <v>505239389.6060657</v>
      </c>
      <c r="E8" s="18">
        <f>E6*E7</f>
        <v>559833487.7586975</v>
      </c>
      <c r="F8" s="18">
        <f>F6*F7</f>
        <v>612577221.2011468</v>
      </c>
      <c r="G8" s="18">
        <f>G6*G7</f>
        <v>661810420.9799579</v>
      </c>
      <c r="H8" s="18">
        <f>H6*H7</f>
        <v>705839312.3579389</v>
      </c>
      <c r="I8" s="18">
        <f>I6*I7</f>
        <v>743026668.8370053</v>
      </c>
      <c r="J8" s="18">
        <f>J6*J7</f>
        <v>771887793.9677926</v>
      </c>
      <c r="K8" s="18">
        <f>K6*K7</f>
        <v>791184988.8169874</v>
      </c>
    </row>
    <row r="9" spans="1:11" x14ac:dyDescent="0.25">
      <c r="A9" t="s">
        <v>52</v>
      </c>
      <c r="B9" s="18">
        <f>B8*(1-Assumptions!B8)</f>
        <v>313250175.94984084</v>
      </c>
      <c r="C9" s="18">
        <f>C8*(1-Assumptions!B8)</f>
        <v>355771131.7199484</v>
      </c>
      <c r="D9" s="18">
        <f>D8*(1-Assumptions!B8)</f>
        <v>399139117.7887919</v>
      </c>
      <c r="E9" s="18">
        <f>E8*(1-Assumptions!B8)</f>
        <v>442268455.32937104</v>
      </c>
      <c r="F9" s="18">
        <f>F8*(1-Assumptions!B8)</f>
        <v>483936004.748906</v>
      </c>
      <c r="G9" s="18">
        <f>G8*(1-Assumptions!B8)</f>
        <v>522830232.5741668</v>
      </c>
      <c r="H9" s="18">
        <f>H8*(1-Assumptions!B8)</f>
        <v>557613056.7627717</v>
      </c>
      <c r="I9" s="18">
        <f>I8*(1-Assumptions!B8)</f>
        <v>586991068.3812342</v>
      </c>
      <c r="J9" s="18">
        <f>J8*(1-Assumptions!B8)</f>
        <v>609791357.2345562</v>
      </c>
      <c r="K9" s="18">
        <f>K8*(1-Assumptions!B8)</f>
        <v>625036141.16542</v>
      </c>
    </row>
    <row r="10" spans="1:11" x14ac:dyDescent="0.25">
      <c r="A10" t="s">
        <v>53</v>
      </c>
      <c r="B10" s="18">
        <f>B6*Assumptions!B9</f>
        <v>134510290.25030813</v>
      </c>
      <c r="C10" s="18">
        <f>C6*Assumptions!B9</f>
        <v>152768878.8848234</v>
      </c>
      <c r="D10" s="18">
        <f>D6*Assumptions!B9</f>
        <v>171391184.1269617</v>
      </c>
      <c r="E10" s="18">
        <f>E6*Assumptions!B9</f>
        <v>189911013.18466586</v>
      </c>
      <c r="F10" s="18">
        <f>F6*Assumptions!B9</f>
        <v>207803147.32136998</v>
      </c>
      <c r="G10" s="18">
        <f>G6*Assumptions!B9</f>
        <v>224504411.28067628</v>
      </c>
      <c r="H10" s="18">
        <f>H6*Assumptions!B9</f>
        <v>239440229.794259</v>
      </c>
      <c r="I10" s="18">
        <f>I6*Assumptions!B9</f>
        <v>252055210.32154548</v>
      </c>
      <c r="J10" s="18">
        <f>J6*Assumptions!B9</f>
        <v>261845702.7359609</v>
      </c>
      <c r="K10" s="18">
        <f>K6*Assumptions!B9</f>
        <v>268391845.3043599</v>
      </c>
    </row>
    <row r="11" spans="1:11" x14ac:dyDescent="0.25">
      <c r="A11" t="s">
        <v>54</v>
      </c>
      <c r="B11" s="18">
        <f>-B6*B19</f>
        <v>-271612900.25779647</v>
      </c>
      <c r="C11" s="18">
        <f>-C6*C19</f>
        <v>-302182872.57010233</v>
      </c>
      <c r="D11" s="18">
        <f>-D6*D19</f>
        <v>-331951587.94340026</v>
      </c>
      <c r="E11" s="18">
        <f>-E6*E19</f>
        <v>-359990352.33823866</v>
      </c>
      <c r="F11" s="18">
        <f>-F6*F19</f>
        <v>-385337907.23099124</v>
      </c>
      <c r="G11" s="18">
        <f>-G6*G19</f>
        <v>-407050799.78813934</v>
      </c>
      <c r="H11" s="18">
        <f>-H6*H19</f>
        <v>-424258262.95955706</v>
      </c>
      <c r="I11" s="18">
        <f>-I6*I19</f>
        <v>-436217493.54412806</v>
      </c>
      <c r="J11" s="18">
        <f>-J6*J19</f>
        <v>-442364704.0552692</v>
      </c>
      <c r="K11" s="18">
        <f>-K6*K19</f>
        <v>-442357272.74331254</v>
      </c>
    </row>
    <row r="12" spans="1:11" x14ac:dyDescent="0.25">
      <c r="A12" t="s">
        <v>55</v>
      </c>
      <c r="B12" s="18">
        <f>-(B6-Assumptions!B29)*Assumptions!B11</f>
        <v>-222654892.1162474</v>
      </c>
      <c r="C12" s="18">
        <f>-(C6-B6)*Assumptions!B11</f>
        <v>-171668348.33059546</v>
      </c>
      <c r="D12" s="18">
        <f>-(D6-C6)*Assumptions!B11</f>
        <v>-175088033.74773747</v>
      </c>
      <c r="E12" s="18">
        <f>-(E6-D6)*Assumptions!B11</f>
        <v>-174124546.49923408</v>
      </c>
      <c r="F12" s="18">
        <f>-(F6-E6)*Assumptions!B11</f>
        <v>-168222921.1052597</v>
      </c>
      <c r="G12" s="18">
        <f>-(G6-F6)*Assumptions!B11</f>
        <v>-157026288.08382308</v>
      </c>
      <c r="H12" s="18">
        <f>-(H6-G6)*Assumptions!B11</f>
        <v>-140427463.83723116</v>
      </c>
      <c r="I12" s="18">
        <f>-(I6-H6)*Assumptions!B11</f>
        <v>-118606805.52538142</v>
      </c>
      <c r="J12" s="18">
        <f>-(J6-I6)*Assumptions!B11</f>
        <v>-92050798.43623622</v>
      </c>
      <c r="K12" s="18">
        <f>-(K6-J6)*Assumptions!B11</f>
        <v>-61547226.08347376</v>
      </c>
    </row>
    <row r="13" spans="1:11" x14ac:dyDescent="0.25">
      <c r="A13" s="19" t="s">
        <v>56</v>
      </c>
      <c r="B13" s="20">
        <f>B9+B10+B11+B12</f>
        <v>-46507326.17389491</v>
      </c>
      <c r="C13" s="20">
        <f>C9+C10+C11+C12</f>
        <v>34688789.704074055</v>
      </c>
      <c r="D13" s="20">
        <f>D9+D10+D11+D12</f>
        <v>63490680.22461587</v>
      </c>
      <c r="E13" s="20">
        <f>E9+E10+E11+E12</f>
        <v>98064569.67656416</v>
      </c>
      <c r="F13" s="20">
        <f>F9+F10+F11+F12</f>
        <v>138178323.7340251</v>
      </c>
      <c r="G13" s="20">
        <f>G9+G10+G11+G12</f>
        <v>183257555.9828806</v>
      </c>
      <c r="H13" s="20">
        <f>H9+H10+H11+H12</f>
        <v>232367559.76024246</v>
      </c>
      <c r="I13" s="20">
        <f>I9+I10+I11+I12</f>
        <v>284221979.63327014</v>
      </c>
      <c r="J13" s="20">
        <f>J9+J10+J11+J12</f>
        <v>337221557.4790118</v>
      </c>
      <c r="K13" s="20">
        <f>K9+K10+K11+K12</f>
        <v>389523487.6429937</v>
      </c>
    </row>
    <row r="14" spans="1:11" x14ac:dyDescent="0.25">
      <c r="A14" t="s">
        <v>57</v>
      </c>
      <c r="B14" s="21">
        <f>1/(1+Assumptions!$B$26)^(1-0.5*Assumptions!$B$32)</f>
        <v>0.9579045508720712</v>
      </c>
      <c r="C14" s="21">
        <f>1/(1+Assumptions!$B$26)^(2-0.5*Assumptions!$B$32)</f>
        <v>0.8789551388624773</v>
      </c>
      <c r="D14" s="21">
        <f>1/(1+Assumptions!$B$26)^(3-0.5*Assumptions!$B$32)</f>
        <v>0.8065126482898745</v>
      </c>
      <c r="E14" s="21">
        <f>1/(1+Assumptions!$B$26)^(4-0.5*Assumptions!$B$32)</f>
        <v>0.7400407860330164</v>
      </c>
      <c r="F14" s="21">
        <f>1/(1+Assumptions!$B$26)^(5-0.5*Assumptions!$B$32)</f>
        <v>0.6790474596444593</v>
      </c>
      <c r="G14" s="21">
        <f>1/(1+Assumptions!$B$26)^(6-0.5*Assumptions!$B$32)</f>
        <v>0.6230811343809122</v>
      </c>
      <c r="H14" s="21">
        <f>1/(1+Assumptions!$B$26)^(7-0.5*Assumptions!$B$32)</f>
        <v>0.5717274904830315</v>
      </c>
      <c r="I14" s="21">
        <f>1/(1+Assumptions!$B$26)^(8-0.5*Assumptions!$B$32)</f>
        <v>0.5246063559584455</v>
      </c>
      <c r="J14" s="21">
        <f>1/(1+Assumptions!$B$26)^(9-0.5*Assumptions!$B$32)</f>
        <v>0.4813688921613388</v>
      </c>
      <c r="K14" s="21">
        <f>1/(1+Assumptions!$B$26)^(10-0.5*Assumptions!$B$32)</f>
        <v>0.44169501133339123</v>
      </c>
    </row>
    <row r="15" spans="1:11" x14ac:dyDescent="0.25">
      <c r="A15" s="19" t="s">
        <v>58</v>
      </c>
      <c r="B15" s="20">
        <f>B13*B14</f>
        <v>-44549579.39086573</v>
      </c>
      <c r="C15" s="20">
        <f>C13*C14</f>
        <v>30489889.971315686</v>
      </c>
      <c r="D15" s="20">
        <f>D13*D14</f>
        <v>51206036.64968051</v>
      </c>
      <c r="E15" s="20">
        <f>E13*E14</f>
        <v>72571781.22543404</v>
      </c>
      <c r="F15" s="20">
        <f>F13*F14</f>
        <v>93829639.70951945</v>
      </c>
      <c r="G15" s="20">
        <f>G13*G14</f>
        <v>114184325.86568676</v>
      </c>
      <c r="H15" s="20">
        <f>H13*H14</f>
        <v>132850921.81138928</v>
      </c>
      <c r="I15" s="20">
        <f>I13*I14</f>
        <v>149104657.01870537</v>
      </c>
      <c r="J15" s="20">
        <f>J13*J14</f>
        <v>162327967.53659314</v>
      </c>
      <c r="K15" s="20">
        <f>K13*K14</f>
        <v>172050581.28909418</v>
      </c>
    </row>
    <row r="17" spans="1:2" x14ac:dyDescent="0.25">
      <c r="A17" s="22" t="s">
        <v>59</v>
      </c>
      <c r="B17" s="23">
        <f>SUM(B15:K15)</f>
        <v>934066221.6865528</v>
      </c>
    </row>
    <row r="19" spans="1:11" x14ac:dyDescent="0.25">
      <c r="A19" t="s">
        <v>7</v>
      </c>
      <c r="B19" s="9">
        <f>Assumptions!$B$10+($B$20-Assumptions!$B$10)*0/9</f>
        <v>0.08263856678848222</v>
      </c>
      <c r="C19" s="9">
        <f>Assumptions!$B$10+($B$20-Assumptions!$B$10)*1/9</f>
        <v>0.0809511172868105</v>
      </c>
      <c r="D19" s="9">
        <f>Assumptions!$B$10+($B$20-Assumptions!$B$10)*2/9</f>
        <v>0.07926366778513876</v>
      </c>
      <c r="E19" s="9">
        <f>Assumptions!$B$10+($B$20-Assumptions!$B$10)*3/9</f>
        <v>0.07757621828346703</v>
      </c>
      <c r="F19" s="9">
        <f>Assumptions!$B$10+($B$20-Assumptions!$B$10)*4/9</f>
        <v>0.07588876878179529</v>
      </c>
      <c r="G19" s="9">
        <f>Assumptions!$B$10+($B$20-Assumptions!$B$10)*5/9</f>
        <v>0.07420131928012356</v>
      </c>
      <c r="H19" s="9">
        <f>Assumptions!$B$10+($B$20-Assumptions!$B$10)*6/9</f>
        <v>0.07251386977845183</v>
      </c>
      <c r="I19" s="9">
        <f>Assumptions!$B$10+($B$20-Assumptions!$B$10)*7/9</f>
        <v>0.0708264202767801</v>
      </c>
      <c r="J19" s="9">
        <f>Assumptions!$B$10+($B$20-Assumptions!$B$10)*8/9</f>
        <v>0.06913897077510836</v>
      </c>
      <c r="K19" s="9">
        <f>Assumptions!$B$10+($B$20-Assumptions!$B$10)*9/9</f>
        <v>0.06745152127343663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0.06745152127343663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389523487.6429937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625036141.16542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0.27832858931098436</v>
      </c>
    </row>
    <row r="7" spans="1:2" x14ac:dyDescent="0.25">
      <c r="A7" t="s">
        <v>66</v>
      </c>
      <c r="B7" s="18">
        <f>-MAX(B5,0)*B6</f>
        <v>-173965427.43895265</v>
      </c>
    </row>
    <row r="8" spans="1:2" x14ac:dyDescent="0.25">
      <c r="A8" t="s">
        <v>67</v>
      </c>
      <c r="B8" s="18">
        <f>IF(OR(Assumptions!$B$33=0,Assumptions!B12&lt;=0),B5,MAX(B5+B7,0))</f>
        <v>451070713.7264674</v>
      </c>
    </row>
    <row r="9" spans="1:2" x14ac:dyDescent="0.25">
      <c r="A9" t="s">
        <v>68</v>
      </c>
      <c r="B9" s="18">
        <f>B8*(1+Assumptions!B12)/(Assumptions!B26-Assumptions!B12)</f>
        <v>7132582524.997057</v>
      </c>
    </row>
    <row r="10" spans="1:2" x14ac:dyDescent="0.25">
      <c r="A10" t="s">
        <v>69</v>
      </c>
      <c r="B10" s="18">
        <f>B9/(1+Assumptions!B26)^(10-0.5*Assumptions!B32)</f>
        <v>3150426119.2149234</v>
      </c>
    </row>
    <row r="11" spans="1:2" x14ac:dyDescent="0.25">
      <c r="A11" t="s">
        <v>70</v>
      </c>
      <c r="B11" s="18">
        <f>Forecast!B17+B10</f>
        <v>4084492340.901476</v>
      </c>
    </row>
    <row r="12" spans="1:2" x14ac:dyDescent="0.25">
      <c r="A12" t="s">
        <v>71</v>
      </c>
      <c r="B12" s="18">
        <f>-Assumptions!B30</f>
        <v>-233100000</v>
      </c>
    </row>
    <row r="13" spans="1:2" x14ac:dyDescent="0.25">
      <c r="A13" t="s">
        <v>72</v>
      </c>
      <c r="B13" s="18">
        <f>B11+B12</f>
        <v>3851392340.901476</v>
      </c>
    </row>
    <row r="14" spans="1:2" x14ac:dyDescent="0.25">
      <c r="A14" s="19" t="s">
        <v>73</v>
      </c>
      <c r="B14" s="24">
        <f>B13/Assumptions!B31</f>
        <v>53.57638957379011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1059576834.1213473</v>
      </c>
    </row>
    <row r="18" spans="1:2" x14ac:dyDescent="0.25">
      <c r="A18" t="s">
        <v>68</v>
      </c>
      <c r="B18" s="18">
        <f>B17*Assumptions!B13</f>
        <v>19933333685.871605</v>
      </c>
    </row>
    <row r="19" spans="1:2" x14ac:dyDescent="0.25">
      <c r="A19" t="s">
        <v>69</v>
      </c>
      <c r="B19" s="18">
        <f>B18/(1+Assumptions!B26)^(10-0.5*Assumptions!B32)</f>
        <v>8804454048.293327</v>
      </c>
    </row>
    <row r="20" spans="1:2" x14ac:dyDescent="0.25">
      <c r="A20" t="s">
        <v>70</v>
      </c>
      <c r="B20" s="18">
        <f>Forecast!B17+B19</f>
        <v>9738520269.97988</v>
      </c>
    </row>
    <row r="21" spans="1:2" x14ac:dyDescent="0.25">
      <c r="A21" t="s">
        <v>71</v>
      </c>
      <c r="B21" s="18">
        <f>-Assumptions!B30</f>
        <v>-233100000</v>
      </c>
    </row>
    <row r="22" spans="1:2" x14ac:dyDescent="0.25">
      <c r="A22" t="s">
        <v>72</v>
      </c>
      <c r="B22" s="18">
        <f>B20+B21</f>
        <v>9505420269.97988</v>
      </c>
    </row>
    <row r="23" spans="1:2" x14ac:dyDescent="0.25">
      <c r="A23" s="19" t="s">
        <v>73</v>
      </c>
      <c r="B23" s="25">
        <f>B22/Assumptions!B31</f>
        <v>132.22908869571097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149.68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53.57638957379011</v>
      </c>
    </row>
    <row r="29" spans="1:2" x14ac:dyDescent="0.25">
      <c r="A29" s="19" t="s">
        <v>81</v>
      </c>
      <c r="B29" s="11">
        <f>B28/B26-1</f>
        <v>-0.6420604651670891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0.069822</v>
      </c>
      <c r="B5" s="31">
        <v>84.37426499608424</v>
      </c>
      <c r="C5" s="31">
        <v>85.07264572629398</v>
      </c>
      <c r="D5" s="31">
        <v>86.17614625333495</v>
      </c>
      <c r="E5" s="31">
        <v>87.83736556652121</v>
      </c>
      <c r="F5" s="31">
        <v>90.29654781587817</v>
      </c>
    </row>
    <row r="6" spans="1:6" x14ac:dyDescent="0.25">
      <c r="A6" s="30">
        <v>0.079822</v>
      </c>
      <c r="B6" s="31">
        <v>67.42524634962493</v>
      </c>
      <c r="C6" s="31">
        <v>66.88507573843492</v>
      </c>
      <c r="D6" s="31">
        <v>66.43885937266309</v>
      </c>
      <c r="E6" s="31">
        <v>66.11488422756683</v>
      </c>
      <c r="F6" s="31">
        <v>65.95405919409554</v>
      </c>
    </row>
    <row r="7" spans="1:6" x14ac:dyDescent="0.25">
      <c r="A7" s="30">
        <v>0.089822</v>
      </c>
      <c r="B7" s="31">
        <v>55.52051596932056</v>
      </c>
      <c r="C7" s="31">
        <v>54.54840413302022</v>
      </c>
      <c r="D7" s="32">
        <v>53.576292296719856</v>
      </c>
      <c r="E7" s="31">
        <v>52.60418046041949</v>
      </c>
      <c r="F7" s="31">
        <v>51.63206862411913</v>
      </c>
    </row>
    <row r="8" spans="1:6" x14ac:dyDescent="0.25">
      <c r="A8" s="30">
        <v>0.099822</v>
      </c>
      <c r="B8" s="31">
        <v>47.32934666551988</v>
      </c>
      <c r="C8" s="31">
        <v>46.50190975940346</v>
      </c>
      <c r="D8" s="31">
        <v>45.67447285328701</v>
      </c>
      <c r="E8" s="31">
        <v>44.847035947170575</v>
      </c>
      <c r="F8" s="31">
        <v>44.019599041054136</v>
      </c>
    </row>
    <row r="9" spans="1:6" x14ac:dyDescent="0.25">
      <c r="A9" s="30">
        <v>0.109822</v>
      </c>
      <c r="B9" s="31">
        <v>40.761541095590346</v>
      </c>
      <c r="C9" s="31">
        <v>40.0495218607649</v>
      </c>
      <c r="D9" s="31">
        <v>39.33750262593944</v>
      </c>
      <c r="E9" s="31">
        <v>38.625483391113995</v>
      </c>
      <c r="F9" s="31">
        <v>37.91346415628854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2708100000</v>
      </c>
      <c r="C5" s="18">
        <v>2071600000</v>
      </c>
      <c r="D5" s="18">
        <v>1697100000</v>
      </c>
      <c r="E5" s="18">
        <v>1305300000</v>
      </c>
      <c r="F5" s="6" t="s">
        <v>91</v>
      </c>
    </row>
    <row r="6" spans="1:6" x14ac:dyDescent="0.25">
      <c r="A6" t="s">
        <v>51</v>
      </c>
      <c r="B6" s="18">
        <v>473800000</v>
      </c>
      <c r="C6" s="18">
        <v>308900000</v>
      </c>
      <c r="D6" s="18">
        <v>220100000</v>
      </c>
      <c r="E6" s="18">
        <v>37600000</v>
      </c>
      <c r="F6" s="6" t="s">
        <v>92</v>
      </c>
    </row>
    <row r="7" spans="1:6" x14ac:dyDescent="0.25">
      <c r="A7" t="s">
        <v>93</v>
      </c>
      <c r="B7" s="18">
        <v>90400000</v>
      </c>
      <c r="C7" s="18">
        <v>80800000</v>
      </c>
      <c r="D7" s="18">
        <v>72800000</v>
      </c>
      <c r="E7" s="18">
        <v>63200000</v>
      </c>
      <c r="F7" s="6" t="s">
        <v>94</v>
      </c>
    </row>
    <row r="8" spans="1:6" x14ac:dyDescent="0.25">
      <c r="A8" t="s">
        <v>95</v>
      </c>
      <c r="B8" s="18">
        <v>219400000</v>
      </c>
      <c r="C8" s="18">
        <v>134000000</v>
      </c>
      <c r="D8" s="18">
        <v>109200000</v>
      </c>
      <c r="E8" s="18">
        <v>157300000</v>
      </c>
      <c r="F8" s="6" t="s">
        <v>96</v>
      </c>
    </row>
    <row r="9" spans="1:6" x14ac:dyDescent="0.25">
      <c r="A9" t="s">
        <v>97</v>
      </c>
      <c r="B9" s="18">
        <v>23100000</v>
      </c>
      <c r="C9" s="18">
        <v>17000000</v>
      </c>
      <c r="D9" s="18">
        <v>190600000</v>
      </c>
      <c r="E9" s="18">
        <v>2500000</v>
      </c>
      <c r="F9" s="6" t="s">
        <v>98</v>
      </c>
    </row>
    <row r="10" spans="1:6" x14ac:dyDescent="0.25">
      <c r="A10" t="s">
        <v>99</v>
      </c>
      <c r="B10" s="18">
        <v>949200000</v>
      </c>
      <c r="C10" s="18">
        <v>1379900000</v>
      </c>
      <c r="D10" s="18">
        <v>1415800000</v>
      </c>
      <c r="E10" s="18">
        <v>1401800000</v>
      </c>
      <c r="F10" s="6" t="s">
        <v>100</v>
      </c>
    </row>
    <row r="11" spans="1:6" x14ac:dyDescent="0.25">
      <c r="A11" t="s">
        <v>101</v>
      </c>
      <c r="B11" s="18">
        <v>716100000</v>
      </c>
      <c r="C11" s="18">
        <v>953300000</v>
      </c>
      <c r="D11" s="18">
        <v>704200000</v>
      </c>
      <c r="E11" s="18">
        <v>674200000</v>
      </c>
      <c r="F11" s="6" t="s">
        <v>102</v>
      </c>
    </row>
    <row r="12" spans="1:6" x14ac:dyDescent="0.25">
      <c r="A12" t="s">
        <v>34</v>
      </c>
      <c r="B12" s="34">
        <v>71886000</v>
      </c>
      <c r="C12" s="34">
        <v>73890000</v>
      </c>
      <c r="D12" s="34">
        <v>73633000</v>
      </c>
      <c r="E12" s="34">
        <v>69910000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