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<sst xmlns="http://schemas.openxmlformats.org/spreadsheetml/2006/main" count="112" uniqueCount="100">
  <si>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Insulet Corporation (PODD)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</si>
  <si>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</si>
  <si>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</si>
  <si>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</si>
  <si>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</si>
  <si>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</si>
  <si>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</si>
  <si>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</si>
  <si>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</si>
  <si>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</si>
  <si>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</si>
  <si>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</si>
  <si>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</si>
  <si>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</si>
  <si>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</si>
  <si>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</si>
  <si>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</si>
  <si>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</si>
  <si>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</si>
  <si>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</si>
  <si>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</si>
  <si>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</si>
  <si>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</si>
  <si>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</si>
  <si>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</si>
  <si>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</si>
  <si>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</si>
  <si>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</si>
  <si>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</si>
  <si>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</si>
  <si>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</si>
  <si>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</si>
  <si>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</si>
  <si>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</si>
  <si>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</si>
  <si>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</si>
  <si>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</si>
  <si>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</si>
  <si>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</si>
  <si>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</si>
  <si>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</si>
  <si>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</si>
  <si>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</si>
  <si>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</si>
  <si>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</si>
  <si>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</si>
  <si>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</si>
  <si>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</si>
  <si>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</si>
  <si>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</si>
  <si>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</si>
  <si>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</si>
  <si>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</si>
  <si>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</si>
  <si>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</si>
  <si>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</si>
  <si>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</si>
  <si>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</si>
  <si>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</si>
  <si>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</si>
  <si>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</si>
  <si>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</si>
  <si>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</si>
  <si>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</si>
  <si>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</si>
  <si>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</si>
  <si>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</si>
  <si>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</si>
  <si>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</si>
  <si>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</si>
  <si>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</si>
  <si>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</si>
  <si>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</si>
  <si>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</si>
  <si>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</si>
  <si>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</si>
  <si>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</si>
  <si>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</si>
  <si>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</si>
  <si>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</si>
  <si>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</si>
  <si>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</si>
  <si>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</si>
  <si>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</si>
  <si>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</si>
  <si>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</si>
  <si>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</si>
  <si>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</si>
  <si>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</si>
  <si>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</si>
  <si>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</si>
  <si>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</si>
  <si>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</si>
  <si>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</si>
  <si>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</si>
  <si>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</si>
  <si>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</si>
  <si>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</si>
  <si>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8.3% of revenue against depreciation of 4.1%.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</si>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</sst>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0.27541480232743965</v>
      </c>
    </row>
    <row r="7" spans="1:2" x14ac:dyDescent="0.25">
      <c r="A7" t="s">
        <v>5</v>
      </c>
      <c r="B7" s="6">
        <v>0.1206414687690235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0.04092492511967552</v>
      </c>
    </row>
    <row r="10" spans="1:2" x14ac:dyDescent="0.25">
      <c r="A10" t="s">
        <v>8</v>
      </c>
      <c r="B10" s="6">
        <v>0.08263856678848222</v>
      </c>
    </row>
    <row r="11" spans="1:2" x14ac:dyDescent="0.25">
      <c r="A11" t="s">
        <v>9</v>
      </c>
      <c r="B11" s="6">
        <v>0.04539385847797063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17.696385622119816</v>
      </c>
    </row>
    <row r="14" spans="1:3" x14ac:dyDescent="0.25">
      <c r="A14" t="s">
        <v>12</v>
      </c>
      <c r="B14" s="6">
        <v>0.10189493603859728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1.05293</v>
      </c>
      <c r="C19" s="8" t="s">
        <v>19</v>
      </c>
    </row>
    <row r="20" spans="1:2" x14ac:dyDescent="0.25">
      <c r="A20" t="s">
        <v>20</v>
      </c>
      <c r="B20" s="10">
        <f>B17+B19*B18</f>
        <v>0.10789114999999999</v>
      </c>
    </row>
    <row r="21" spans="1:3" x14ac:dyDescent="0.25">
      <c r="A21" t="s">
        <v>21</v>
      </c>
      <c r="B21" s="6">
        <v>0.051006826671246404</v>
      </c>
      <c r="C21" s="8" t="s">
        <v>22</v>
      </c>
    </row>
    <row r="22" spans="1:2" x14ac:dyDescent="0.25">
      <c r="A22" t="s">
        <v>23</v>
      </c>
      <c r="B22" s="11">
        <v>9751200768</v>
      </c>
    </row>
    <row r="23" spans="1:2" x14ac:dyDescent="0.25">
      <c r="A23" t="s">
        <v>24</v>
      </c>
      <c r="B23" s="11">
        <v>949200000</v>
      </c>
    </row>
    <row r="24" spans="1:2" x14ac:dyDescent="0.25">
      <c r="A24" t="s">
        <v>25</v>
      </c>
      <c r="B24" s="10">
        <f>B22/(B22+B23)</f>
        <v>0.9112930421411296</v>
      </c>
    </row>
    <row r="25" spans="1:2" x14ac:dyDescent="0.25">
      <c r="A25" t="s">
        <v>26</v>
      </c>
      <c r="B25" s="10">
        <f>1-B24</f>
        <v>0.0887069578588704</v>
      </c>
    </row>
    <row r="26" spans="1:2" x14ac:dyDescent="0.25">
      <c r="A26" t="s">
        <v>27</v>
      </c>
      <c r="B26" s="12">
        <f>B24*B20+B25*B21*(1-B8)</f>
        <v>0.10189493603859728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2708100000</v>
      </c>
      <c r="C29" s="8" t="s">
        <v>30</v>
      </c>
    </row>
    <row r="30" spans="1:2" x14ac:dyDescent="0.25">
      <c r="A30" t="s">
        <v>31</v>
      </c>
      <c r="B30" s="11">
        <v>233100000</v>
      </c>
    </row>
    <row r="31" spans="1:2" x14ac:dyDescent="0.25">
      <c r="A31" t="s">
        <v>32</v>
      </c>
      <c r="B31" s="13">
        <v>71886000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0.27541480232743965</v>
      </c>
      <c r="C5" s="10">
        <f>Assumptions!B6</f>
        <v>0.27541480232743965</v>
      </c>
      <c r="D5" s="10">
        <f>Assumptions!B6</f>
        <v>0.27541480232743965</v>
      </c>
      <c r="E5" s="10">
        <f>Assumptions!B6</f>
        <v>0.27541480232743965</v>
      </c>
      <c r="F5" s="10">
        <f>Assumptions!B6</f>
        <v>0.27541480232743965</v>
      </c>
    </row>
    <row r="6" spans="1:6" x14ac:dyDescent="0.25">
      <c r="A6" t="s">
        <v>43</v>
      </c>
      <c r="B6" s="18">
        <f>Assumptions!B29*(1+B5)</f>
        <v>3453950826.1829395</v>
      </c>
      <c r="C6" s="18">
        <f>B6*(1+C5)</f>
        <v>4405220010.224811</v>
      </c>
      <c r="D6" s="18">
        <f>C6*(1+D5)</f>
        <v>5618482808.549759</v>
      </c>
      <c r="E6" s="18">
        <f>D6*(1+E5)</f>
        <v>7165896140.646608</v>
      </c>
      <c r="F6" s="18">
        <f>E6*(1+F5)</f>
        <v>9139490009.721756</v>
      </c>
    </row>
    <row r="7" spans="1:6" x14ac:dyDescent="0.25">
      <c r="A7" t="s">
        <v>5</v>
      </c>
      <c r="B7" s="10">
        <f>Assumptions!B7</f>
        <v>0.1206414687690235</v>
      </c>
      <c r="C7" s="10">
        <f>Assumptions!B7</f>
        <v>0.1206414687690235</v>
      </c>
      <c r="D7" s="10">
        <f>Assumptions!B7</f>
        <v>0.1206414687690235</v>
      </c>
      <c r="E7" s="10">
        <f>Assumptions!B7</f>
        <v>0.1206414687690235</v>
      </c>
      <c r="F7" s="10">
        <f>Assumptions!B7</f>
        <v>0.1206414687690235</v>
      </c>
    </row>
    <row r="8" spans="1:6" x14ac:dyDescent="0.25">
      <c r="A8" t="s">
        <v>44</v>
      </c>
      <c r="B8" s="18">
        <f>B6*B7</f>
        <v>416689700.726692</v>
      </c>
      <c r="C8" s="18">
        <f>C6*C7</f>
        <v>531452212.28421384</v>
      </c>
      <c r="D8" s="18">
        <f>D6*D7</f>
        <v>677822018.2769512</v>
      </c>
      <c r="E8" s="18">
        <f>E6*E7</f>
        <v>864504235.4538839</v>
      </c>
      <c r="F8" s="18">
        <f>F6*F7</f>
        <v>1102601498.5726495</v>
      </c>
    </row>
    <row r="9" spans="1:6" x14ac:dyDescent="0.25">
      <c r="A9" t="s">
        <v>45</v>
      </c>
      <c r="B9" s="18">
        <f>B8*(1-Assumptions!B8)</f>
        <v>329184863.5740867</v>
      </c>
      <c r="C9" s="18">
        <f>C8*(1-Assumptions!B8)</f>
        <v>419847247.7045289</v>
      </c>
      <c r="D9" s="18">
        <f>D8*(1-Assumptions!B8)</f>
        <v>535479394.43879145</v>
      </c>
      <c r="E9" s="18">
        <f>E8*(1-Assumptions!B8)</f>
        <v>682958346.0085683</v>
      </c>
      <c r="F9" s="18">
        <f>F8*(1-Assumptions!B8)</f>
        <v>871055183.8723931</v>
      </c>
    </row>
    <row r="10" spans="1:6" x14ac:dyDescent="0.25">
      <c r="A10" t="s">
        <v>46</v>
      </c>
      <c r="B10" s="18">
        <f>B6*Assumptions!B9</f>
        <v>141352678.9285782</v>
      </c>
      <c r="C10" s="18">
        <f>C6*Assumptions!B9</f>
        <v>180283299.05414662</v>
      </c>
      <c r="D10" s="18">
        <f>D6*Assumptions!B9</f>
        <v>229935988.2260831</v>
      </c>
      <c r="E10" s="18">
        <f>E6*Assumptions!B9</f>
        <v>293263762.9713342</v>
      </c>
      <c r="F10" s="18">
        <f>F6*Assumptions!B9</f>
        <v>374032944.27988535</v>
      </c>
    </row>
    <row r="11" spans="1:6" x14ac:dyDescent="0.25">
      <c r="A11" t="s">
        <v>47</v>
      </c>
      <c r="B11" s="18">
        <f>-B6*Assumptions!B10</f>
        <v>-285429546.0336522</v>
      </c>
      <c r="C11" s="18">
        <f>-C6*Assumptions!B10</f>
        <v>-364041068.0329213</v>
      </c>
      <c r="D11" s="18">
        <f>-D6*Assumptions!B10</f>
        <v>-464303366.8242784</v>
      </c>
      <c r="E11" s="18">
        <f>-E6*Assumptions!B10</f>
        <v>-592179386.8181517</v>
      </c>
      <c r="F11" s="18">
        <f>-F6*Assumptions!B10</f>
        <v>-755274355.5810573</v>
      </c>
    </row>
    <row r="12" spans="1:6" x14ac:dyDescent="0.25">
      <c r="A12" t="s">
        <v>48</v>
      </c>
      <c r="B12" s="18">
        <f>-(B6-Assumptions!B29)*Assumptions!B11</f>
        <v>-33857046.84942583</v>
      </c>
      <c r="C12" s="18">
        <f>-(C6-B6)*Assumptions!B11</f>
        <v>-43181778.71485129</v>
      </c>
      <c r="D12" s="18">
        <f>-(D6-C6)*Assumptions!B11</f>
        <v>-55074679.763749324</v>
      </c>
      <c r="E12" s="18">
        <f>-(E6-D6)*Assumptions!B11</f>
        <v>-70243061.80412935</v>
      </c>
      <c r="F12" s="18">
        <f>-(F6-E6)*Assumptions!B11</f>
        <v>-89589040.78578775</v>
      </c>
    </row>
    <row r="13" spans="1:6" x14ac:dyDescent="0.25">
      <c r="A13" s="19" t="s">
        <v>49</v>
      </c>
      <c r="B13" s="20">
        <f>B9+B10+B11+B12</f>
        <v>151250949.6195869</v>
      </c>
      <c r="C13" s="20">
        <f>C9+C10+C11+C12</f>
        <v>192907700.01090297</v>
      </c>
      <c r="D13" s="20">
        <f>D9+D10+D11+D12</f>
        <v>246037336.0768468</v>
      </c>
      <c r="E13" s="20">
        <f>E9+E10+E11+E12</f>
        <v>313799660.35762143</v>
      </c>
      <c r="F13" s="20">
        <f>F9+F10+F11+F12</f>
        <v>400224731.78543335</v>
      </c>
    </row>
    <row r="14" spans="1:6" x14ac:dyDescent="0.25">
      <c r="A14" t="s">
        <v>50</v>
      </c>
      <c r="B14" s="21">
        <f>1/(1+Assumptions!$B$26)^(1-0.5*Assumptions!$B$32)</f>
        <v>0.952642398498913</v>
      </c>
      <c r="C14" s="21">
        <f>1/(1+Assumptions!$B$26)^(2-0.5*Assumptions!$B$32)</f>
        <v>0.8645492118547532</v>
      </c>
      <c r="D14" s="21">
        <f>1/(1+Assumptions!$B$26)^(3-0.5*Assumptions!$B$32)</f>
        <v>0.7846022189401093</v>
      </c>
      <c r="E14" s="21">
        <f>1/(1+Assumptions!$B$26)^(4-0.5*Assumptions!$B$32)</f>
        <v>0.7120481211764332</v>
      </c>
      <c r="F14" s="21">
        <f>1/(1+Assumptions!$B$26)^(5-0.5*Assumptions!$B$32)</f>
        <v>0.6462032793582887</v>
      </c>
    </row>
    <row r="15" spans="1:6" x14ac:dyDescent="0.25">
      <c r="A15" s="19" t="s">
        <v>51</v>
      </c>
      <c r="B15" s="20">
        <f>B13*B14</f>
        <v>144088067.42084152</v>
      </c>
      <c r="C15" s="20">
        <f>C13*C14</f>
        <v>166778200.00513932</v>
      </c>
      <c r="D15" s="20">
        <f>D13*D14</f>
        <v>193041439.8280074</v>
      </c>
      <c r="E15" s="20">
        <f>E13*E14</f>
        <v>223440458.58344722</v>
      </c>
      <c r="F15" s="20">
        <f>F13*F14</f>
        <v>258626534.16003856</v>
      </c>
    </row>
    <row r="17" spans="1:2" x14ac:dyDescent="0.25">
      <c r="A17" s="22" t="s">
        <v>52</v>
      </c>
      <c r="B17" s="23">
        <f>SUM(B15:F15)</f>
        <v>985974699.9974741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400224731.78543335</v>
      </c>
    </row>
    <row r="5" spans="1:2" x14ac:dyDescent="0.25">
      <c r="A5" t="s">
        <v>56</v>
      </c>
      <c r="B5" s="18">
        <f>IF(Assumptions!$B$33=0,B4,B4-Forecast!F11-Forecast!F10-Forecast!F12)</f>
        <v>871055183.8723931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0.2453507600272709</v>
      </c>
    </row>
    <row r="7" spans="1:2" x14ac:dyDescent="0.25">
      <c r="A7" t="s">
        <v>58</v>
      </c>
      <c r="B7" s="18">
        <f>-MAX(Forecast!F9,0)*B6</f>
        <v>-213714051.38878587</v>
      </c>
    </row>
    <row r="8" spans="1:2" x14ac:dyDescent="0.25">
      <c r="A8" t="s">
        <v>59</v>
      </c>
      <c r="B8" s="18">
        <f>IF(OR(Assumptions!$B$33=0,Assumptions!B12&lt;=0),B5,MAX(B5+B7,0))</f>
        <v>657341132.4836073</v>
      </c>
    </row>
    <row r="9" spans="1:2" x14ac:dyDescent="0.25">
      <c r="A9" t="s">
        <v>60</v>
      </c>
      <c r="B9" s="18">
        <f>B8*(1+Assumptions!B12)/(Assumptions!B26-Assumptions!B12)</f>
        <v>8762276106.94022</v>
      </c>
    </row>
    <row r="10" spans="1:2" x14ac:dyDescent="0.25">
      <c r="A10" t="s">
        <v>61</v>
      </c>
      <c r="B10" s="18">
        <f>B9/(1+Assumptions!B26)^(5-0.5*Assumptions!B32)</f>
        <v>5662211554.947549</v>
      </c>
    </row>
    <row r="11" spans="1:2" x14ac:dyDescent="0.25">
      <c r="A11" t="s">
        <v>62</v>
      </c>
      <c r="B11" s="18">
        <f>Forecast!B17+B10</f>
        <v>6648186254.945023</v>
      </c>
    </row>
    <row r="12" spans="1:2" x14ac:dyDescent="0.25">
      <c r="A12" t="s">
        <v>63</v>
      </c>
      <c r="B12" s="18">
        <f>-Assumptions!B30</f>
        <v>-233100000</v>
      </c>
    </row>
    <row r="13" spans="1:2" x14ac:dyDescent="0.25">
      <c r="A13" t="s">
        <v>64</v>
      </c>
      <c r="B13" s="18">
        <f>B11+B12</f>
        <v>6415086254.945023</v>
      </c>
    </row>
    <row r="14" spans="1:2" x14ac:dyDescent="0.25">
      <c r="A14" s="19" t="s">
        <v>65</v>
      </c>
      <c r="B14" s="24">
        <f>B13/Assumptions!B31</f>
        <v>89.23971642524306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1476634442.8525348</v>
      </c>
    </row>
    <row r="18" spans="1:2" x14ac:dyDescent="0.25">
      <c r="A18" t="s">
        <v>60</v>
      </c>
      <c r="B18" s="18">
        <f>B17*Assumptions!B13</f>
        <v>26131092523.6225</v>
      </c>
    </row>
    <row r="19" spans="1:2" x14ac:dyDescent="0.25">
      <c r="A19" t="s">
        <v>61</v>
      </c>
      <c r="B19" s="18">
        <f>B18/(1+Assumptions!B26)^(5-0.5*Assumptions!B32)</f>
        <v>16885997681.979721</v>
      </c>
    </row>
    <row r="20" spans="1:2" x14ac:dyDescent="0.25">
      <c r="A20" t="s">
        <v>62</v>
      </c>
      <c r="B20" s="18">
        <f>Forecast!B17+B19</f>
        <v>17871972381.977196</v>
      </c>
    </row>
    <row r="21" spans="1:2" x14ac:dyDescent="0.25">
      <c r="A21" t="s">
        <v>63</v>
      </c>
      <c r="B21" s="18">
        <f>-Assumptions!B30</f>
        <v>-233100000</v>
      </c>
    </row>
    <row r="22" spans="1:2" x14ac:dyDescent="0.25">
      <c r="A22" t="s">
        <v>64</v>
      </c>
      <c r="B22" s="18">
        <f>B20+B21</f>
        <v>17638872381.977196</v>
      </c>
    </row>
    <row r="23" spans="1:2" x14ac:dyDescent="0.25">
      <c r="A23" s="19" t="s">
        <v>65</v>
      </c>
      <c r="B23" s="25">
        <f>B22/Assumptions!B31</f>
        <v>245.37284564417544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140.6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89.23971642524306</v>
      </c>
    </row>
    <row r="29" spans="1:2" x14ac:dyDescent="0.25">
      <c r="A29" s="19" t="s">
        <v>73</v>
      </c>
      <c r="B29" s="12">
        <f>B28/B26-1</f>
        <v>-0.3652936242870337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0.081895</v>
      </c>
      <c r="B5" s="31">
        <v>118.10743190619742</v>
      </c>
      <c r="C5" s="31">
        <v>119.31037654181895</v>
      </c>
      <c r="D5" s="31">
        <v>120.63940089702614</v>
      </c>
      <c r="E5" s="31">
        <v>122.13094770799371</v>
      </c>
      <c r="F5" s="31">
        <v>123.83700198029601</v>
      </c>
    </row>
    <row r="6" spans="1:6" x14ac:dyDescent="0.25">
      <c r="A6" s="30">
        <v>0.091895</v>
      </c>
      <c r="B6" s="31">
        <v>100.93525834092087</v>
      </c>
      <c r="C6" s="31">
        <v>101.37913828805469</v>
      </c>
      <c r="D6" s="31">
        <v>101.82301823518851</v>
      </c>
      <c r="E6" s="31">
        <v>102.26689818232234</v>
      </c>
      <c r="F6" s="31">
        <v>102.71077812945617</v>
      </c>
    </row>
    <row r="7" spans="1:6" x14ac:dyDescent="0.25">
      <c r="A7" s="30">
        <v>0.101895</v>
      </c>
      <c r="B7" s="31">
        <v>88.4711908123764</v>
      </c>
      <c r="C7" s="31">
        <v>88.8554174993221</v>
      </c>
      <c r="D7" s="32">
        <v>89.23964418626777</v>
      </c>
      <c r="E7" s="31">
        <v>89.62387087321346</v>
      </c>
      <c r="F7" s="31">
        <v>90.00809756015913</v>
      </c>
    </row>
    <row r="8" spans="1:6" x14ac:dyDescent="0.25">
      <c r="A8" s="30">
        <v>0.111895</v>
      </c>
      <c r="B8" s="31">
        <v>78.33056072029096</v>
      </c>
      <c r="C8" s="31">
        <v>78.66650997121181</v>
      </c>
      <c r="D8" s="31">
        <v>79.00245922213261</v>
      </c>
      <c r="E8" s="31">
        <v>79.33840847305346</v>
      </c>
      <c r="F8" s="31">
        <v>79.67435772397428</v>
      </c>
    </row>
    <row r="9" spans="1:6" x14ac:dyDescent="0.25">
      <c r="A9" s="30">
        <v>0.121895</v>
      </c>
      <c r="B9" s="31">
        <v>69.93672077541848</v>
      </c>
      <c r="C9" s="31">
        <v>70.23293131522733</v>
      </c>
      <c r="D9" s="31">
        <v>70.52914185503616</v>
      </c>
      <c r="E9" s="31">
        <v>70.82535239484503</v>
      </c>
      <c r="F9" s="31">
        <v>71.12156293465387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2708100000</v>
      </c>
      <c r="C5" s="18">
        <v>2071600000</v>
      </c>
      <c r="D5" s="18">
        <v>1697100000</v>
      </c>
      <c r="E5" s="18">
        <v>1305300000</v>
      </c>
      <c r="F5" s="8" t="s">
        <v>84</v>
      </c>
    </row>
    <row r="6" spans="1:6" x14ac:dyDescent="0.25">
      <c r="A6" t="s">
        <v>44</v>
      </c>
      <c r="B6" s="18">
        <v>473800000</v>
      </c>
      <c r="C6" s="18">
        <v>308900000</v>
      </c>
      <c r="D6" s="18">
        <v>220100000</v>
      </c>
      <c r="E6" s="18">
        <v>37600000</v>
      </c>
      <c r="F6" s="8" t="s">
        <v>85</v>
      </c>
    </row>
    <row r="7" spans="1:6" x14ac:dyDescent="0.25">
      <c r="A7" t="s">
        <v>86</v>
      </c>
      <c r="B7" s="18">
        <v>90400000</v>
      </c>
      <c r="C7" s="18">
        <v>80800000</v>
      </c>
      <c r="D7" s="18">
        <v>72800000</v>
      </c>
      <c r="E7" s="18">
        <v>63200000</v>
      </c>
      <c r="F7" s="8" t="s">
        <v>87</v>
      </c>
    </row>
    <row r="8" spans="1:6" x14ac:dyDescent="0.25">
      <c r="A8" t="s">
        <v>88</v>
      </c>
      <c r="B8" s="18">
        <v>219400000</v>
      </c>
      <c r="C8" s="18">
        <v>134000000</v>
      </c>
      <c r="D8" s="18">
        <v>109200000</v>
      </c>
      <c r="E8" s="18">
        <v>157300000</v>
      </c>
      <c r="F8" s="8" t="s">
        <v>89</v>
      </c>
    </row>
    <row r="9" spans="1:6" x14ac:dyDescent="0.25">
      <c r="A9" t="s">
        <v>90</v>
      </c>
      <c r="B9" s="18">
        <v>23100000</v>
      </c>
      <c r="C9" s="18">
        <v>17000000</v>
      </c>
      <c r="D9" s="18">
        <v>190600000</v>
      </c>
      <c r="E9" s="18">
        <v>2500000</v>
      </c>
      <c r="F9" s="8" t="s">
        <v>91</v>
      </c>
    </row>
    <row r="10" spans="1:6" x14ac:dyDescent="0.25">
      <c r="A10" t="s">
        <v>92</v>
      </c>
      <c r="B10" s="18">
        <v>949200000</v>
      </c>
      <c r="C10" s="18">
        <v>1379900000</v>
      </c>
      <c r="D10" s="18">
        <v>1415800000</v>
      </c>
      <c r="E10" s="18">
        <v>1401800000</v>
      </c>
      <c r="F10" s="8" t="s">
        <v>93</v>
      </c>
    </row>
    <row r="11" spans="1:6" x14ac:dyDescent="0.25">
      <c r="A11" t="s">
        <v>94</v>
      </c>
      <c r="B11" s="18">
        <v>716100000</v>
      </c>
      <c r="C11" s="18">
        <v>953300000</v>
      </c>
      <c r="D11" s="18">
        <v>704200000</v>
      </c>
      <c r="E11" s="18">
        <v>674200000</v>
      </c>
      <c r="F11" s="8" t="s">
        <v>95</v>
      </c>
    </row>
    <row r="12" spans="1:6" x14ac:dyDescent="0.25">
      <c r="A12" t="s">
        <v>32</v>
      </c>
      <c r="B12" s="34">
        <v>71886000</v>
      </c>
      <c r="C12" s="34">
        <v>73890000</v>
      </c>
      <c r="D12" s="34">
        <v>73633000</v>
      </c>
      <c r="E12" s="34">
        <v>69910000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2026-09-19T00:06:56Z</dcterms:modified>
</cp:coreProperties>
</file>