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<sst xmlns="http://schemas.openxmlformats.org/spreadsheetml/2006/main" count="114" uniqueCount="102">
  <si>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Port of Tauranga Limited (POT.NZ)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</si>
  <si>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</si>
  <si>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</si>
  <si>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</si>
  <si>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</si>
  <si>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</si>
  <si>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</si>
  <si>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</si>
  <si>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</si>
  <si>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</si>
  <si>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</si>
  <si>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</si>
  <si>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</si>
  <si>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</si>
  <si>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</si>
  <si>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</si>
  <si>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</si>
  <si>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</si>
  <si>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</si>
  <si>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</si>
  <si>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</si>
  <si>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</si>
  <si>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</si>
  <si>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</si>
  <si>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</si>
  <si>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</si>
  <si>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</si>
  <si>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</si>
  <si>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</si>
  <si>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</si>
  <si>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</si>
  <si>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</si>
  <si>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</si>
  <si>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</si>
  <si>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</si>
  <si>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</si>
  <si>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</si>
  <si>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</si>
  <si>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</si>
  <si>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</si>
  <si>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</si>
  <si>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</si>
  <si>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</si>
  <si>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</si>
  <si>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</si>
  <si>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</si>
  <si>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</si>
  <si>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</si>
  <si>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</si>
  <si>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</si>
  <si>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</si>
  <si>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</si>
  <si>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</si>
  <si>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</si>
  <si>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</si>
  <si>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</si>
  <si>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</si>
  <si>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</si>
  <si>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</si>
  <si>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</si>
  <si>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</si>
  <si>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</si>
  <si>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</si>
  <si>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</si>
  <si>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</si>
  <si>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</si>
  <si>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</si>
  <si>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</si>
  <si>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</si>
  <si>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</si>
  <si>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</si>
  <si>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</si>
  <si>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</si>
  <si>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</si>
  <si>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</si>
  <si>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</si>
  <si>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</si>
  <si>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</si>
  <si>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</si>
  <si>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</si>
  <si>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</si>
  <si>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</si>
  <si>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</si>
  <si>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</si>
  <si>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</si>
  <si>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</si>
  <si>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</si>
  <si>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</si>
  <si>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</si>
  <si>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</si>
  <si>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</si>
  <si>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</si>
  <si>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</si>
  <si>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</si>
  <si>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</si>
  <si>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</si>
  <si>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</si>
  <si>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</si>
  <si>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</si>
  <si>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Note: Risk-free rate is an assumption: NZD assumption - no free live source available for this market.</t>
  </si>
  <si>
    <t>Current EV/EBITDA of 28.8x sits outside a defensible 3-20x band, so the exit multiple is capped at 20.0x. A multiple that far out usually means EBITDA is the wrong denominator for this business.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</si>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</sst>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0.011135325561565601</v>
      </c>
    </row>
    <row r="7" spans="1:2" x14ac:dyDescent="0.25">
      <c r="A7" t="s">
        <v>5</v>
      </c>
      <c r="B7" s="6">
        <v>0.3817991426388721</v>
      </c>
    </row>
    <row r="8" spans="1:2" x14ac:dyDescent="0.25">
      <c r="A8" t="s">
        <v>6</v>
      </c>
      <c r="B8" s="6">
        <v>0.26285654426634575</v>
      </c>
    </row>
    <row r="9" spans="1:2" x14ac:dyDescent="0.25">
      <c r="A9" t="s">
        <v>7</v>
      </c>
      <c r="B9" s="6">
        <v>0.10002715925306523</v>
      </c>
    </row>
    <row r="10" spans="1:2" x14ac:dyDescent="0.25">
      <c r="A10" t="s">
        <v>8</v>
      </c>
      <c r="B10" s="6">
        <v>0.11776465541539863</v>
      </c>
    </row>
    <row r="11" spans="1:2" x14ac:dyDescent="0.25">
      <c r="A11" t="s">
        <v>9</v>
      </c>
      <c r="B11" s="6">
        <v>-0.037942095045159115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0.07954799217444751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0.5973299999999999</v>
      </c>
      <c r="C19" s="8" t="s">
        <v>19</v>
      </c>
    </row>
    <row r="20" spans="1:2" x14ac:dyDescent="0.25">
      <c r="A20" t="s">
        <v>20</v>
      </c>
      <c r="B20" s="10">
        <f>B17+B19*B18</f>
        <v>0.08382645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5598462464</v>
      </c>
    </row>
    <row r="23" spans="1:2" x14ac:dyDescent="0.25">
      <c r="A23" t="s">
        <v>24</v>
      </c>
      <c r="B23" s="11">
        <v>516485000</v>
      </c>
    </row>
    <row r="24" spans="1:2" x14ac:dyDescent="0.25">
      <c r="A24" t="s">
        <v>25</v>
      </c>
      <c r="B24" s="10">
        <f>B22/(B22+B23)</f>
        <v>0.9155372956119971</v>
      </c>
    </row>
    <row r="25" spans="1:2" x14ac:dyDescent="0.25">
      <c r="A25" t="s">
        <v>26</v>
      </c>
      <c r="B25" s="10">
        <f>1-B24</f>
        <v>0.08446270438800285</v>
      </c>
    </row>
    <row r="26" spans="1:2" x14ac:dyDescent="0.25">
      <c r="A26" t="s">
        <v>27</v>
      </c>
      <c r="B26" s="12">
        <f>B24*B20+B25*B21*(1-B8)</f>
        <v>0.07954799217444751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434208000</v>
      </c>
      <c r="C29" s="8" t="s">
        <v>30</v>
      </c>
    </row>
    <row r="30" spans="1:2" x14ac:dyDescent="0.25">
      <c r="A30" t="s">
        <v>31</v>
      </c>
      <c r="B30" s="11">
        <v>514750000</v>
      </c>
    </row>
    <row r="31" spans="1:2" x14ac:dyDescent="0.25">
      <c r="A31" t="s">
        <v>32</v>
      </c>
      <c r="B31" s="13">
        <v>681449782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0.011135325561565601</v>
      </c>
      <c r="C5" s="10">
        <f>Assumptions!B6</f>
        <v>0.011135325561565601</v>
      </c>
      <c r="D5" s="10">
        <f>Assumptions!B6</f>
        <v>0.011135325561565601</v>
      </c>
      <c r="E5" s="10">
        <f>Assumptions!B6</f>
        <v>0.011135325561565601</v>
      </c>
      <c r="F5" s="10">
        <f>Assumptions!B6</f>
        <v>0.011135325561565601</v>
      </c>
    </row>
    <row r="6" spans="1:6" x14ac:dyDescent="0.25">
      <c r="A6" t="s">
        <v>43</v>
      </c>
      <c r="B6" s="18">
        <f>Assumptions!B29*(1+B5)</f>
        <v>439043047.4414363</v>
      </c>
      <c r="C6" s="18">
        <f>B6*(1+C5)</f>
        <v>443931934.7102386</v>
      </c>
      <c r="D6" s="18">
        <f>C6*(1+D5)</f>
        <v>448875261.33041275</v>
      </c>
      <c r="E6" s="18">
        <f>D6*(1+E5)</f>
        <v>453873633.5018597</v>
      </c>
      <c r="F6" s="18">
        <f>E6*(1+F5)</f>
        <v>458927664.1747136</v>
      </c>
    </row>
    <row r="7" spans="1:6" x14ac:dyDescent="0.25">
      <c r="A7" t="s">
        <v>5</v>
      </c>
      <c r="B7" s="10">
        <f>Assumptions!B7</f>
        <v>0.3817991426388721</v>
      </c>
      <c r="C7" s="10">
        <f>Assumptions!B7</f>
        <v>0.3817991426388721</v>
      </c>
      <c r="D7" s="10">
        <f>Assumptions!B7</f>
        <v>0.3817991426388721</v>
      </c>
      <c r="E7" s="10">
        <f>Assumptions!B7</f>
        <v>0.3817991426388721</v>
      </c>
      <c r="F7" s="10">
        <f>Assumptions!B7</f>
        <v>0.3817991426388721</v>
      </c>
    </row>
    <row r="8" spans="1:6" x14ac:dyDescent="0.25">
      <c r="A8" t="s">
        <v>44</v>
      </c>
      <c r="B8" s="18">
        <f>B6*B7</f>
        <v>167626259.094698</v>
      </c>
      <c r="C8" s="18">
        <f>C6*C7</f>
        <v>169492832.06238484</v>
      </c>
      <c r="D8" s="18">
        <f>D6*D7</f>
        <v>171380189.92775124</v>
      </c>
      <c r="E8" s="18">
        <f>E6*E7</f>
        <v>173288564.1373997</v>
      </c>
      <c r="F8" s="18">
        <f>F6*F7</f>
        <v>175218188.71516588</v>
      </c>
    </row>
    <row r="9" spans="1:6" x14ac:dyDescent="0.25">
      <c r="A9" t="s">
        <v>45</v>
      </c>
      <c r="B9" s="18">
        <f>B8*(1-Assumptions!B8)</f>
        <v>123564599.90077059</v>
      </c>
      <c r="C9" s="18">
        <f>C8*(1-Assumptions!B8)</f>
        <v>124940531.94855027</v>
      </c>
      <c r="D9" s="18">
        <f>D8*(1-Assumptions!B8)</f>
        <v>126331785.44763255</v>
      </c>
      <c r="E9" s="18">
        <f>E8*(1-Assumptions!B8)</f>
        <v>127738531.00736581</v>
      </c>
      <c r="F9" s="18">
        <f>F8*(1-Assumptions!B8)</f>
        <v>129160941.13688897</v>
      </c>
    </row>
    <row r="10" spans="1:6" x14ac:dyDescent="0.25">
      <c r="A10" t="s">
        <v>46</v>
      </c>
      <c r="B10" s="18">
        <f>B6*Assumptions!B9</f>
        <v>43916228.82537562</v>
      </c>
      <c r="C10" s="18">
        <f>C6*Assumptions!B9</f>
        <v>44405250.33078239</v>
      </c>
      <c r="D10" s="18">
        <f>D6*Assumptions!B9</f>
        <v>44899717.24985847</v>
      </c>
      <c r="E10" s="18">
        <f>E6*Assumptions!B9</f>
        <v>45399690.21905788</v>
      </c>
      <c r="F10" s="18">
        <f>F6*Assumptions!B9</f>
        <v>45905230.55004132</v>
      </c>
    </row>
    <row r="11" spans="1:6" x14ac:dyDescent="0.25">
      <c r="A11" t="s">
        <v>47</v>
      </c>
      <c r="B11" s="18">
        <f>-B6*Assumptions!B10</f>
        <v>-51703753.194467254</v>
      </c>
      <c r="C11" s="18">
        <f>-C6*Assumptions!B10</f>
        <v>-52279491.31904249</v>
      </c>
      <c r="D11" s="18">
        <f>-D6*Assumptions!B10</f>
        <v>-52861640.47507307</v>
      </c>
      <c r="E11" s="18">
        <f>-E6*Assumptions!B10</f>
        <v>-53450272.05148144</v>
      </c>
      <c r="F11" s="18">
        <f>-F6*Assumptions!B10</f>
        <v>-54045458.23212893</v>
      </c>
    </row>
    <row r="12" spans="1:6" x14ac:dyDescent="0.25">
      <c r="A12" t="s">
        <v>48</v>
      </c>
      <c r="B12" s="18">
        <f>-(B6-Assumptions!B29)*Assumptions!B11</f>
        <v>183451.82957082914</v>
      </c>
      <c r="C12" s="18">
        <f>-(C6-B6)*Assumptions!B11</f>
        <v>185494.62541796465</v>
      </c>
      <c r="D12" s="18">
        <f>-(D6-C6)*Assumptions!B11</f>
        <v>187560.1684619135</v>
      </c>
      <c r="E12" s="18">
        <f>-(E6-D6)*Assumptions!B11</f>
        <v>189648.71200011962</v>
      </c>
      <c r="F12" s="18">
        <f>-(F6-E6)*Assumptions!B11</f>
        <v>191760.51215057165</v>
      </c>
    </row>
    <row r="13" spans="1:6" x14ac:dyDescent="0.25">
      <c r="A13" s="19" t="s">
        <v>49</v>
      </c>
      <c r="B13" s="20">
        <f>B9+B10+B11+B12</f>
        <v>115960527.3612498</v>
      </c>
      <c r="C13" s="20">
        <f>C9+C10+C11+C12</f>
        <v>117251785.58570814</v>
      </c>
      <c r="D13" s="20">
        <f>D9+D10+D11+D12</f>
        <v>118557422.39087987</v>
      </c>
      <c r="E13" s="20">
        <f>E9+E10+E11+E12</f>
        <v>119877597.88694236</v>
      </c>
      <c r="F13" s="20">
        <f>F9+F10+F11+F12</f>
        <v>121212473.96695194</v>
      </c>
    </row>
    <row r="14" spans="1:6" x14ac:dyDescent="0.25">
      <c r="A14" t="s">
        <v>50</v>
      </c>
      <c r="B14" s="21">
        <f>1/(1+Assumptions!$B$26)^(1-0.5*Assumptions!$B$32)</f>
        <v>0.9624518751805093</v>
      </c>
      <c r="C14" s="21">
        <f>1/(1+Assumptions!$B$26)^(2-0.5*Assumptions!$B$32)</f>
        <v>0.8915322729116648</v>
      </c>
      <c r="D14" s="21">
        <f>1/(1+Assumptions!$B$26)^(3-0.5*Assumptions!$B$32)</f>
        <v>0.8258384799696792</v>
      </c>
      <c r="E14" s="21">
        <f>1/(1+Assumptions!$B$26)^(4-0.5*Assumptions!$B$32)</f>
        <v>0.7649854253410806</v>
      </c>
      <c r="F14" s="21">
        <f>1/(1+Assumptions!$B$26)^(5-0.5*Assumptions!$B$32)</f>
        <v>0.7086164125044884</v>
      </c>
    </row>
    <row r="15" spans="1:6" x14ac:dyDescent="0.25">
      <c r="A15" s="19" t="s">
        <v>51</v>
      </c>
      <c r="B15" s="20">
        <f>B13*B14</f>
        <v>111606427.00575563</v>
      </c>
      <c r="C15" s="20">
        <f>C13*C14</f>
        <v>104533750.90617755</v>
      </c>
      <c r="D15" s="20">
        <f>D13*D14</f>
        <v>97909281.49640743</v>
      </c>
      <c r="E15" s="20">
        <f>E13*E14</f>
        <v>91704615.20840962</v>
      </c>
      <c r="F15" s="20">
        <f>F13*F14</f>
        <v>85893148.45325518</v>
      </c>
    </row>
    <row r="17" spans="1:2" x14ac:dyDescent="0.25">
      <c r="A17" s="22" t="s">
        <v>52</v>
      </c>
      <c r="B17" s="23">
        <f>SUM(B15:F15)</f>
        <v>491647223.0700054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121212473.96695194</v>
      </c>
    </row>
    <row r="5" spans="1:2" x14ac:dyDescent="0.25">
      <c r="A5" t="s">
        <v>56</v>
      </c>
      <c r="B5" s="18">
        <f>IF(Assumptions!$B$33=0,B4,B4-Forecast!F11-Forecast!F10-Forecast!F12)</f>
        <v>129160941.13688897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0.31427568838161735</v>
      </c>
    </row>
    <row r="7" spans="1:2" x14ac:dyDescent="0.25">
      <c r="A7" t="s">
        <v>58</v>
      </c>
      <c r="B7" s="18">
        <f>-MAX(Forecast!F9,0)*B6</f>
        <v>-40592143.687813334</v>
      </c>
    </row>
    <row r="8" spans="1:2" x14ac:dyDescent="0.25">
      <c r="A8" t="s">
        <v>59</v>
      </c>
      <c r="B8" s="18">
        <f>IF(OR(Assumptions!$B$33=0,Assumptions!B12&lt;=0),B5,MAX(B5+B7,0))</f>
        <v>88568797.44907564</v>
      </c>
    </row>
    <row r="9" spans="1:2" x14ac:dyDescent="0.25">
      <c r="A9" t="s">
        <v>60</v>
      </c>
      <c r="B9" s="18">
        <f>B8*(1+Assumptions!B12)/(Assumptions!B26-Assumptions!B12)</f>
        <v>1664277891.200347</v>
      </c>
    </row>
    <row r="10" spans="1:2" x14ac:dyDescent="0.25">
      <c r="A10" t="s">
        <v>61</v>
      </c>
      <c r="B10" s="18">
        <f>B9/(1+Assumptions!B26)^(5-0.5*Assumptions!B32)</f>
        <v>1179334628.672925</v>
      </c>
    </row>
    <row r="11" spans="1:2" x14ac:dyDescent="0.25">
      <c r="A11" t="s">
        <v>62</v>
      </c>
      <c r="B11" s="18">
        <f>Forecast!B17+B10</f>
        <v>1670981851.7429304</v>
      </c>
    </row>
    <row r="12" spans="1:2" x14ac:dyDescent="0.25">
      <c r="A12" t="s">
        <v>63</v>
      </c>
      <c r="B12" s="18">
        <f>-Assumptions!B30</f>
        <v>-514750000</v>
      </c>
    </row>
    <row r="13" spans="1:2" x14ac:dyDescent="0.25">
      <c r="A13" t="s">
        <v>64</v>
      </c>
      <c r="B13" s="18">
        <f>B11+B12</f>
        <v>1156231851.7429304</v>
      </c>
    </row>
    <row r="14" spans="1:2" x14ac:dyDescent="0.25">
      <c r="A14" s="19" t="s">
        <v>65</v>
      </c>
      <c r="B14" s="24">
        <f>B13/Assumptions!B31</f>
        <v>1.6967234890727876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221123419.2652072</v>
      </c>
    </row>
    <row r="18" spans="1:2" x14ac:dyDescent="0.25">
      <c r="A18" t="s">
        <v>60</v>
      </c>
      <c r="B18" s="18">
        <f>B17*Assumptions!B13</f>
        <v>4422468385.304144</v>
      </c>
    </row>
    <row r="19" spans="1:2" x14ac:dyDescent="0.25">
      <c r="A19" t="s">
        <v>61</v>
      </c>
      <c r="B19" s="18">
        <f>B18/(1+Assumptions!B26)^(5-0.5*Assumptions!B32)</f>
        <v>3133833681.60874</v>
      </c>
    </row>
    <row r="20" spans="1:2" x14ac:dyDescent="0.25">
      <c r="A20" t="s">
        <v>62</v>
      </c>
      <c r="B20" s="18">
        <f>Forecast!B17+B19</f>
        <v>3625480904.6787453</v>
      </c>
    </row>
    <row r="21" spans="1:2" x14ac:dyDescent="0.25">
      <c r="A21" t="s">
        <v>63</v>
      </c>
      <c r="B21" s="18">
        <f>-Assumptions!B30</f>
        <v>-514750000</v>
      </c>
    </row>
    <row r="22" spans="1:2" x14ac:dyDescent="0.25">
      <c r="A22" t="s">
        <v>64</v>
      </c>
      <c r="B22" s="18">
        <f>B20+B21</f>
        <v>3110730904.6787453</v>
      </c>
    </row>
    <row r="23" spans="1:2" x14ac:dyDescent="0.25">
      <c r="A23" s="19" t="s">
        <v>65</v>
      </c>
      <c r="B23" s="25">
        <f>B22/Assumptions!B31</f>
        <v>4.564871817185122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8.23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1.6967234890727876</v>
      </c>
    </row>
    <row r="29" spans="1:2" x14ac:dyDescent="0.25">
      <c r="A29" s="19" t="s">
        <v>73</v>
      </c>
      <c r="B29" s="12">
        <f>B28/B26-1</f>
        <v>-0.7938367570992968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0.059548</v>
      </c>
      <c r="B5" s="31">
        <v>2.4893540974619945</v>
      </c>
      <c r="C5" s="31">
        <v>2.5016216324797815</v>
      </c>
      <c r="D5" s="31">
        <v>2.513889167497568</v>
      </c>
      <c r="E5" s="31">
        <v>2.5261567025153555</v>
      </c>
      <c r="F5" s="31">
        <v>2.538424237533142</v>
      </c>
    </row>
    <row r="6" spans="1:6" x14ac:dyDescent="0.25">
      <c r="A6" s="30">
        <v>0.069548</v>
      </c>
      <c r="B6" s="31">
        <v>2.026229873215079</v>
      </c>
      <c r="C6" s="31">
        <v>2.0362987596613316</v>
      </c>
      <c r="D6" s="31">
        <v>2.046367646107582</v>
      </c>
      <c r="E6" s="31">
        <v>2.0564365325538336</v>
      </c>
      <c r="F6" s="31">
        <v>2.0665054190000847</v>
      </c>
    </row>
    <row r="7" spans="1:6" x14ac:dyDescent="0.25">
      <c r="A7" s="30">
        <v>0.079548</v>
      </c>
      <c r="B7" s="31">
        <v>1.679839097262226</v>
      </c>
      <c r="C7" s="31">
        <v>1.6882811736199352</v>
      </c>
      <c r="D7" s="32">
        <v>1.6967232499776441</v>
      </c>
      <c r="E7" s="31">
        <v>1.7051653263353534</v>
      </c>
      <c r="F7" s="31">
        <v>1.7136074026930623</v>
      </c>
    </row>
    <row r="8" spans="1:6" x14ac:dyDescent="0.25">
      <c r="A8" s="30">
        <v>0.089548</v>
      </c>
      <c r="B8" s="31">
        <v>1.4110576030229602</v>
      </c>
      <c r="C8" s="31">
        <v>1.4182521392279164</v>
      </c>
      <c r="D8" s="31">
        <v>1.4254466754328716</v>
      </c>
      <c r="E8" s="31">
        <v>1.4326412116378273</v>
      </c>
      <c r="F8" s="31">
        <v>1.4398357478427832</v>
      </c>
    </row>
    <row r="9" spans="1:6" x14ac:dyDescent="0.25">
      <c r="A9" s="30">
        <v>0.099548</v>
      </c>
      <c r="B9" s="31">
        <v>1.1964829508420394</v>
      </c>
      <c r="C9" s="31">
        <v>1.2026940854434993</v>
      </c>
      <c r="D9" s="31">
        <v>1.2089052200449588</v>
      </c>
      <c r="E9" s="31">
        <v>1.215116354646419</v>
      </c>
      <c r="F9" s="31">
        <v>1.2213274892478783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434208000</v>
      </c>
      <c r="C5" s="18">
        <v>464131000</v>
      </c>
      <c r="D5" s="18">
        <v>416743000</v>
      </c>
      <c r="E5" s="18">
        <v>420020000</v>
      </c>
      <c r="F5" s="8" t="s">
        <v>84</v>
      </c>
    </row>
    <row r="6" spans="1:6" x14ac:dyDescent="0.25">
      <c r="A6" t="s">
        <v>44</v>
      </c>
      <c r="B6" s="18">
        <v>166291000</v>
      </c>
      <c r="C6" s="18">
        <v>172362000</v>
      </c>
      <c r="D6" s="18">
        <v>154392000</v>
      </c>
      <c r="E6" s="18">
        <v>169009000</v>
      </c>
      <c r="F6" s="8" t="s">
        <v>85</v>
      </c>
    </row>
    <row r="7" spans="1:6" x14ac:dyDescent="0.25">
      <c r="A7" t="s">
        <v>86</v>
      </c>
      <c r="B7" s="18">
        <v>46180000</v>
      </c>
      <c r="C7" s="18">
        <v>42925000</v>
      </c>
      <c r="D7" s="18">
        <v>43770000</v>
      </c>
      <c r="E7" s="18">
        <v>40423000</v>
      </c>
      <c r="F7" s="8" t="s">
        <v>87</v>
      </c>
    </row>
    <row r="8" spans="1:6" x14ac:dyDescent="0.25">
      <c r="A8" t="s">
        <v>88</v>
      </c>
      <c r="B8" s="18">
        <v>86109000</v>
      </c>
      <c r="C8" s="18">
        <v>28851000</v>
      </c>
      <c r="D8" s="18">
        <v>42692000</v>
      </c>
      <c r="E8" s="18">
        <v>45422000</v>
      </c>
      <c r="F8" s="8" t="s">
        <v>89</v>
      </c>
    </row>
    <row r="9" spans="1:6" x14ac:dyDescent="0.25">
      <c r="A9" t="s">
        <v>90</v>
      </c>
      <c r="B9" s="18">
        <v>4041000</v>
      </c>
      <c r="C9" s="18">
        <v>-1798000</v>
      </c>
      <c r="D9" s="18">
        <v>-5922000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516485000</v>
      </c>
      <c r="C10" s="18">
        <v>522993000</v>
      </c>
      <c r="D10" s="18">
        <v>519102000</v>
      </c>
      <c r="E10" s="18">
        <v>503687000</v>
      </c>
      <c r="F10" s="8" t="s">
        <v>93</v>
      </c>
    </row>
    <row r="11" spans="1:6" x14ac:dyDescent="0.25">
      <c r="A11" t="s">
        <v>94</v>
      </c>
      <c r="B11" s="18">
        <v>1735000</v>
      </c>
      <c r="C11" s="18">
        <v>8975000</v>
      </c>
      <c r="D11" s="18">
        <v>18728000</v>
      </c>
      <c r="E11" s="18">
        <v>8506000</v>
      </c>
      <c r="F11" s="8" t="s">
        <v>95</v>
      </c>
    </row>
    <row r="12" spans="1:6" x14ac:dyDescent="0.25">
      <c r="A12" t="s">
        <v>32</v>
      </c>
      <c r="B12" s="34">
        <v>681449782</v>
      </c>
      <c r="C12" s="34">
        <v>679894118</v>
      </c>
      <c r="D12" s="34">
        <v>683075188</v>
      </c>
      <c r="E12" s="34">
        <v>681023256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2026-09-19T01:06:40Z</dcterms:modified>
</cp:coreProperties>
</file>