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<sst xmlns="http://schemas.openxmlformats.org/spreadsheetml/2006/main" count="116" uniqueCount="103">
  <si>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Power Corporation of Canada (POW.TO)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</si>
  <si>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</si>
  <si>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</si>
  <si>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</si>
  <si>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</si>
  <si>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</si>
  <si>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</si>
  <si>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</si>
  <si>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</si>
  <si>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</si>
  <si>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</si>
  <si>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</si>
  <si>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</si>
  <si>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</si>
  <si>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</si>
  <si>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</si>
  <si>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</si>
  <si>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</si>
  <si>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</si>
  <si>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</si>
  <si>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</si>
  <si>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</si>
  <si>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</si>
  <si>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</si>
  <si>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</si>
  <si>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</si>
  <si>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</si>
  <si>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</si>
  <si>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</si>
  <si>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</si>
  <si>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</si>
  <si>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</si>
  <si>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</si>
  <si>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</si>
  <si>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</si>
  <si>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</si>
  <si>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</si>
  <si>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</si>
  <si>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</si>
  <si>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</si>
  <si>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</si>
  <si>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</si>
  <si>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</si>
  <si>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</si>
  <si>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</si>
  <si>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</si>
  <si>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</si>
  <si>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</si>
  <si>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</si>
  <si>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</si>
  <si>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</si>
  <si>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</si>
  <si>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</si>
  <si>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</si>
  <si>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</si>
  <si>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</si>
  <si>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</si>
  <si>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</si>
  <si>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</si>
  <si>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</si>
  <si>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</si>
  <si>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</si>
  <si>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</si>
  <si>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</si>
  <si>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</si>
  <si>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</si>
  <si>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</si>
  <si>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</si>
  <si>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</si>
  <si>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</si>
  <si>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</si>
  <si>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</si>
  <si>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</si>
  <si>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</si>
  <si>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</si>
  <si>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</si>
  <si>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</si>
  <si>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</si>
  <si>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</si>
  <si>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</si>
  <si>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</si>
  <si>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</si>
  <si>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</si>
  <si>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</si>
  <si>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</si>
  <si>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</si>
  <si>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</si>
  <si>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</si>
  <si>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</si>
  <si>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</si>
  <si>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</si>
  <si>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</si>
  <si>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</si>
  <si>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</si>
  <si>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</si>
  <si>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</si>
  <si>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</si>
  <si>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</si>
  <si>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</si>
  <si>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Consensus rests on as few as 1 analyst estimate(s).</t>
  </si>
  <si>
    <t>Adjusted: Capital expenditure runs at 2.7%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</si>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</sst>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0.04243785072864714</v>
      </c>
    </row>
    <row r="7" spans="1:2" x14ac:dyDescent="0.25">
      <c r="A7" t="s">
        <v>5</v>
      </c>
      <c r="B7" s="6">
        <v>0.1403539253702263</v>
      </c>
    </row>
    <row r="8" spans="1:2" x14ac:dyDescent="0.25">
      <c r="A8" t="s">
        <v>6</v>
      </c>
      <c r="B8" s="6">
        <v>0.1664139499620925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0.026838588569130812</v>
      </c>
    </row>
    <row r="11" spans="1:2" x14ac:dyDescent="0.25">
      <c r="A11" t="s">
        <v>9</v>
      </c>
      <c r="B11" s="6">
        <v>-0.7729317287015116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10.876596148597422</v>
      </c>
    </row>
    <row r="14" spans="1:3" x14ac:dyDescent="0.25">
      <c r="A14" t="s">
        <v>12</v>
      </c>
      <c r="B14" s="6">
        <v>0.11278947503398046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0.94305</v>
      </c>
      <c r="C19" s="8" t="s">
        <v>19</v>
      </c>
    </row>
    <row r="20" spans="1:2" x14ac:dyDescent="0.25">
      <c r="A20" t="s">
        <v>20</v>
      </c>
      <c r="B20" s="10">
        <f>B17+B19*B18</f>
        <v>0.08486775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59357921280</v>
      </c>
    </row>
    <row r="23" spans="1:2" x14ac:dyDescent="0.25">
      <c r="A23" t="s">
        <v>24</v>
      </c>
      <c r="B23" s="11">
        <v>25876000000</v>
      </c>
    </row>
    <row r="24" spans="1:2" x14ac:dyDescent="0.25">
      <c r="A24" t="s">
        <v>25</v>
      </c>
      <c r="B24" s="10">
        <f>B22/(B22+B23)</f>
        <v>0.6964119494749591</v>
      </c>
    </row>
    <row r="25" spans="1:2" x14ac:dyDescent="0.25">
      <c r="A25" t="s">
        <v>26</v>
      </c>
      <c r="B25" s="10">
        <f>1-B24</f>
        <v>0.3035880505250409</v>
      </c>
    </row>
    <row r="26" spans="1:2" x14ac:dyDescent="0.25">
      <c r="A26" t="s">
        <v>27</v>
      </c>
      <c r="B26" s="12">
        <f>B24*B20+B25*B21*(1-B8)</f>
        <v>0.06745411843295743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37649000000</v>
      </c>
      <c r="C29" s="8" t="s">
        <v>30</v>
      </c>
    </row>
    <row r="30" spans="1:2" x14ac:dyDescent="0.25">
      <c r="A30" t="s">
        <v>31</v>
      </c>
      <c r="B30" s="11">
        <v>-1973000000</v>
      </c>
    </row>
    <row r="31" spans="1:2" x14ac:dyDescent="0.25">
      <c r="A31" t="s">
        <v>32</v>
      </c>
      <c r="B31" s="13">
        <v>646400000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0.04243785072864714</v>
      </c>
      <c r="C5" s="10">
        <f>Assumptions!B6</f>
        <v>0.04243785072864714</v>
      </c>
      <c r="D5" s="10">
        <f>Assumptions!B6</f>
        <v>0.04243785072864714</v>
      </c>
      <c r="E5" s="10">
        <f>Assumptions!B6</f>
        <v>0.04243785072864714</v>
      </c>
      <c r="F5" s="10">
        <f>Assumptions!B6</f>
        <v>0.04243785072864714</v>
      </c>
    </row>
    <row r="6" spans="1:6" x14ac:dyDescent="0.25">
      <c r="A6" t="s">
        <v>43</v>
      </c>
      <c r="B6" s="18">
        <f>Assumptions!B29*(1+B5)</f>
        <v>39246742642.08284</v>
      </c>
      <c r="C6" s="18">
        <f>B6*(1+C5)</f>
        <v>40912290047.913185</v>
      </c>
      <c r="D6" s="18">
        <f>C6*(1+D5)</f>
        <v>42648519705.93364</v>
      </c>
      <c r="E6" s="18">
        <f>D6*(1+E5)</f>
        <v>44458431219.01182</v>
      </c>
      <c r="F6" s="18">
        <f>E6*(1+F5)</f>
        <v>46345151486.714066</v>
      </c>
    </row>
    <row r="7" spans="1:6" x14ac:dyDescent="0.25">
      <c r="A7" t="s">
        <v>5</v>
      </c>
      <c r="B7" s="10">
        <f>Assumptions!B7</f>
        <v>0.1403539253702263</v>
      </c>
      <c r="C7" s="10">
        <f>Assumptions!B7</f>
        <v>0.1403539253702263</v>
      </c>
      <c r="D7" s="10">
        <f>Assumptions!B7</f>
        <v>0.1403539253702263</v>
      </c>
      <c r="E7" s="10">
        <f>Assumptions!B7</f>
        <v>0.1403539253702263</v>
      </c>
      <c r="F7" s="10">
        <f>Assumptions!B7</f>
        <v>0.1403539253702263</v>
      </c>
    </row>
    <row r="8" spans="1:6" x14ac:dyDescent="0.25">
      <c r="A8" t="s">
        <v>44</v>
      </c>
      <c r="B8" s="18">
        <f>B6*B7</f>
        <v>5508434387.811374</v>
      </c>
      <c r="C8" s="18">
        <f>C6*C7</f>
        <v>5742200504.109859</v>
      </c>
      <c r="D8" s="18">
        <f>D6*D7</f>
        <v>5985887151.957236</v>
      </c>
      <c r="E8" s="18">
        <f>E6*E7</f>
        <v>6239915337.390524</v>
      </c>
      <c r="F8" s="18">
        <f>F6*F7</f>
        <v>6504723933.038099</v>
      </c>
    </row>
    <row r="9" spans="1:6" x14ac:dyDescent="0.25">
      <c r="A9" t="s">
        <v>45</v>
      </c>
      <c r="B9" s="18">
        <f>B8*(1-Assumptions!B8)</f>
        <v>4591754063.2286625</v>
      </c>
      <c r="C9" s="18">
        <f>C8*(1-Assumptions!B8)</f>
        <v>4786618236.746619</v>
      </c>
      <c r="D9" s="18">
        <f>D8*(1-Assumptions!B8)</f>
        <v>4989752026.9726925</v>
      </c>
      <c r="E9" s="18">
        <f>E8*(1-Assumptions!B8)</f>
        <v>5201506378.666324</v>
      </c>
      <c r="F9" s="18">
        <f>F8*(1-Assumptions!B8)</f>
        <v>5422247129.928271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-1053327178.4494233</v>
      </c>
      <c r="C11" s="18">
        <f>-C6*Assumptions!B10</f>
        <v>-1098028120.0168872</v>
      </c>
      <c r="D11" s="18">
        <f>-D6*Assumptions!B10</f>
        <v>-1144626073.4700208</v>
      </c>
      <c r="E11" s="18">
        <f>-E6*Assumptions!B10</f>
        <v>-1193201543.916059</v>
      </c>
      <c r="F11" s="18">
        <f>-F6*Assumptions!B10</f>
        <v>-1243838452.92596</v>
      </c>
    </row>
    <row r="12" spans="1:6" x14ac:dyDescent="0.25">
      <c r="A12" t="s">
        <v>48</v>
      </c>
      <c r="B12" s="18">
        <f>-(B6-Assumptions!B29)*Assumptions!B11</f>
        <v>1234945982.36521</v>
      </c>
      <c r="C12" s="18">
        <f>-(C6-B6)*Assumptions!B11</f>
        <v>1287354435.6227667</v>
      </c>
      <c r="D12" s="18">
        <f>-(D6-C6)*Assumptions!B11</f>
        <v>1341986990.9965842</v>
      </c>
      <c r="E12" s="18">
        <f>-(E6-D6)*Assumptions!B11</f>
        <v>1398938034.600285</v>
      </c>
      <c r="F12" s="18">
        <f>-(F6-E6)*Assumptions!B11</f>
        <v>1458305958.0912771</v>
      </c>
    </row>
    <row r="13" spans="1:6" x14ac:dyDescent="0.25">
      <c r="A13" s="19" t="s">
        <v>49</v>
      </c>
      <c r="B13" s="20">
        <f>B9+B10+B11+B12</f>
        <v>4773372867.144449</v>
      </c>
      <c r="C13" s="20">
        <f>C9+C10+C11+C12</f>
        <v>4975944552.352499</v>
      </c>
      <c r="D13" s="20">
        <f>D9+D10+D11+D12</f>
        <v>5187112944.499256</v>
      </c>
      <c r="E13" s="20">
        <f>E9+E10+E11+E12</f>
        <v>5407242869.35055</v>
      </c>
      <c r="F13" s="20">
        <f>F9+F10+F11+F12</f>
        <v>5636714635.093588</v>
      </c>
    </row>
    <row r="14" spans="1:6" x14ac:dyDescent="0.25">
      <c r="A14" t="s">
        <v>50</v>
      </c>
      <c r="B14" s="21">
        <f>1/(1+Assumptions!$B$26)^(1-0.5*Assumptions!$B$32)</f>
        <v>0.9678886373310385</v>
      </c>
      <c r="C14" s="21">
        <f>1/(1+Assumptions!$B$26)^(2-0.5*Assumptions!$B$32)</f>
        <v>0.9067262195324304</v>
      </c>
      <c r="D14" s="21">
        <f>1/(1+Assumptions!$B$26)^(3-0.5*Assumptions!$B$32)</f>
        <v>0.8494287519013195</v>
      </c>
      <c r="E14" s="21">
        <f>1/(1+Assumptions!$B$26)^(4-0.5*Assumptions!$B$32)</f>
        <v>0.7957520021078722</v>
      </c>
      <c r="F14" s="21">
        <f>1/(1+Assumptions!$B$26)^(5-0.5*Assumptions!$B$32)</f>
        <v>0.7454671712504618</v>
      </c>
    </row>
    <row r="15" spans="1:6" x14ac:dyDescent="0.25">
      <c r="A15" s="19" t="s">
        <v>51</v>
      </c>
      <c r="B15" s="20">
        <f>B13*B14</f>
        <v>4620093359.853394</v>
      </c>
      <c r="C15" s="20">
        <f>C13*C14</f>
        <v>4511819392.557573</v>
      </c>
      <c r="D15" s="20">
        <f>D13*D14</f>
        <v>4406082874.417182</v>
      </c>
      <c r="E15" s="20">
        <f>E13*E14</f>
        <v>4302824339.169216</v>
      </c>
      <c r="F15" s="20">
        <f>F13*F14</f>
        <v>4201985714.169296</v>
      </c>
    </row>
    <row r="17" spans="1:2" x14ac:dyDescent="0.25">
      <c r="A17" s="22" t="s">
        <v>52</v>
      </c>
      <c r="B17" s="23">
        <f>SUM(B15:F15)</f>
        <v>22042805680.16666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5636714635.093588</v>
      </c>
    </row>
    <row r="5" spans="1:2" x14ac:dyDescent="0.25">
      <c r="A5" t="s">
        <v>56</v>
      </c>
      <c r="B5" s="18">
        <f>IF(Assumptions!$B$33=0,B4,B4-Forecast!F11-Forecast!F10-Forecast!F12)</f>
        <v>5422247129.928271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0.2216518872214643</v>
      </c>
    </row>
    <row r="7" spans="1:2" x14ac:dyDescent="0.25">
      <c r="A7" t="s">
        <v>58</v>
      </c>
      <c r="B7" s="18">
        <f>-MAX(Forecast!F9,0)*B6</f>
        <v>-1201851309.3297698</v>
      </c>
    </row>
    <row r="8" spans="1:2" x14ac:dyDescent="0.25">
      <c r="A8" t="s">
        <v>59</v>
      </c>
      <c r="B8" s="18">
        <f>IF(OR(Assumptions!$B$33=0,Assumptions!B12&lt;=0),B5,MAX(B5+B7,0))</f>
        <v>4220395820.598501</v>
      </c>
    </row>
    <row r="9" spans="1:2" x14ac:dyDescent="0.25">
      <c r="A9" t="s">
        <v>60</v>
      </c>
      <c r="B9" s="18">
        <f>B8*(1+Assumptions!B12)/(Assumptions!B26-Assumptions!B12)</f>
        <v>101896020357.71477</v>
      </c>
    </row>
    <row r="10" spans="1:2" x14ac:dyDescent="0.25">
      <c r="A10" t="s">
        <v>61</v>
      </c>
      <c r="B10" s="18">
        <f>B9/(1+Assumptions!B26)^(5-0.5*Assumptions!B32)</f>
        <v>75960138057.7451</v>
      </c>
    </row>
    <row r="11" spans="1:2" x14ac:dyDescent="0.25">
      <c r="A11" t="s">
        <v>62</v>
      </c>
      <c r="B11" s="18">
        <f>Forecast!B17+B10</f>
        <v>98002943737.91176</v>
      </c>
    </row>
    <row r="12" spans="1:2" x14ac:dyDescent="0.25">
      <c r="A12" t="s">
        <v>63</v>
      </c>
      <c r="B12" s="18">
        <f>-Assumptions!B30</f>
        <v>1973000000</v>
      </c>
    </row>
    <row r="13" spans="1:2" x14ac:dyDescent="0.25">
      <c r="A13" t="s">
        <v>64</v>
      </c>
      <c r="B13" s="18">
        <f>B11+B12</f>
        <v>99975943737.91176</v>
      </c>
    </row>
    <row r="14" spans="1:2" x14ac:dyDescent="0.25">
      <c r="A14" s="19" t="s">
        <v>65</v>
      </c>
      <c r="B14" s="24">
        <f>B13/Assumptions!B31</f>
        <v>154.66575454503675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6504723933.038099</v>
      </c>
    </row>
    <row r="18" spans="1:2" x14ac:dyDescent="0.25">
      <c r="A18" t="s">
        <v>60</v>
      </c>
      <c r="B18" s="18">
        <f>B17*Assumptions!B13</f>
        <v>70749255277.77167</v>
      </c>
    </row>
    <row r="19" spans="1:2" x14ac:dyDescent="0.25">
      <c r="A19" t="s">
        <v>61</v>
      </c>
      <c r="B19" s="18">
        <f>B18/(1+Assumptions!B26)^(5-0.5*Assumptions!B32)</f>
        <v>52741247199.99725</v>
      </c>
    </row>
    <row r="20" spans="1:2" x14ac:dyDescent="0.25">
      <c r="A20" t="s">
        <v>62</v>
      </c>
      <c r="B20" s="18">
        <f>Forecast!B17+B19</f>
        <v>74784052880.16391</v>
      </c>
    </row>
    <row r="21" spans="1:2" x14ac:dyDescent="0.25">
      <c r="A21" t="s">
        <v>63</v>
      </c>
      <c r="B21" s="18">
        <f>-Assumptions!B30</f>
        <v>1973000000</v>
      </c>
    </row>
    <row r="22" spans="1:2" x14ac:dyDescent="0.25">
      <c r="A22" t="s">
        <v>64</v>
      </c>
      <c r="B22" s="18">
        <f>B20+B21</f>
        <v>76757052880.16391</v>
      </c>
    </row>
    <row r="23" spans="1:2" x14ac:dyDescent="0.25">
      <c r="A23" s="19" t="s">
        <v>65</v>
      </c>
      <c r="B23" s="25">
        <f>B22/Assumptions!B31</f>
        <v>118.74544071807536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154.66575454503675</v>
      </c>
    </row>
    <row r="29" spans="1:2" x14ac:dyDescent="0.25">
      <c r="A29" s="19" t="s">
        <v>73</v>
      </c>
      <c r="B29" s="12">
        <f>B28/B26-1</f>
        <v>0.6356361521260232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0.047454</v>
      </c>
      <c r="B5" s="31">
        <v>223.41071365887652</v>
      </c>
      <c r="C5" s="31">
        <v>246.89622229149836</v>
      </c>
      <c r="D5" s="31">
        <v>280.70669392139166</v>
      </c>
      <c r="E5" s="31">
        <v>333.7154209147229</v>
      </c>
      <c r="F5" s="31">
        <v>429.04540234420523</v>
      </c>
    </row>
    <row r="6" spans="1:6" x14ac:dyDescent="0.25">
      <c r="A6" s="30">
        <v>0.057454</v>
      </c>
      <c r="B6" s="31">
        <v>173.18236575125064</v>
      </c>
      <c r="C6" s="31">
        <v>184.1142489480061</v>
      </c>
      <c r="D6" s="31">
        <v>198.32544448005925</v>
      </c>
      <c r="E6" s="31">
        <v>217.60766521363962</v>
      </c>
      <c r="F6" s="31">
        <v>245.34852039533607</v>
      </c>
    </row>
    <row r="7" spans="1:6" x14ac:dyDescent="0.25">
      <c r="A7" s="30">
        <v>0.067454</v>
      </c>
      <c r="B7" s="31">
        <v>142.06336294928812</v>
      </c>
      <c r="C7" s="31">
        <v>147.73001728864324</v>
      </c>
      <c r="D7" s="32">
        <v>154.66615031722503</v>
      </c>
      <c r="E7" s="31">
        <v>163.38017716661898</v>
      </c>
      <c r="F7" s="31">
        <v>174.6938272788716</v>
      </c>
    </row>
    <row r="8" spans="1:6" x14ac:dyDescent="0.25">
      <c r="A8" s="30">
        <v>0.077454</v>
      </c>
      <c r="B8" s="31">
        <v>120.87655280881573</v>
      </c>
      <c r="C8" s="31">
        <v>123.96279399371714</v>
      </c>
      <c r="D8" s="31">
        <v>127.58672968562306</v>
      </c>
      <c r="E8" s="31">
        <v>131.91832274551612</v>
      </c>
      <c r="F8" s="31">
        <v>137.20760522031304</v>
      </c>
    </row>
    <row r="9" spans="1:6" x14ac:dyDescent="0.25">
      <c r="A9" s="30">
        <v>0.087454</v>
      </c>
      <c r="B9" s="31">
        <v>105.51112919551609</v>
      </c>
      <c r="C9" s="31">
        <v>107.20359820581776</v>
      </c>
      <c r="D9" s="31">
        <v>109.12623258196085</v>
      </c>
      <c r="E9" s="31">
        <v>111.33912353582998</v>
      </c>
      <c r="F9" s="31">
        <v>113.92527424479754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37649000000</v>
      </c>
      <c r="C5" s="18">
        <v>32971000000</v>
      </c>
      <c r="D5" s="18">
        <v>34646000000</v>
      </c>
      <c r="E5" s="8" t="s">
        <v>83</v>
      </c>
    </row>
    <row r="6" spans="1:5" x14ac:dyDescent="0.25">
      <c r="A6" t="s">
        <v>44</v>
      </c>
      <c r="B6" s="18">
        <v>5276000000</v>
      </c>
      <c r="C6" s="18">
        <v>5530000000</v>
      </c>
      <c r="D6" s="18">
        <v>3922000000</v>
      </c>
      <c r="E6" s="8" t="s">
        <v>84</v>
      </c>
    </row>
    <row r="7" spans="1:5" x14ac:dyDescent="0.25">
      <c r="A7" t="s">
        <v>85</v>
      </c>
      <c r="B7" s="18">
        <v>0</v>
      </c>
      <c r="C7" s="18">
        <v>0</v>
      </c>
      <c r="D7" s="18">
        <v>0</v>
      </c>
      <c r="E7" s="8" t="s">
        <v>84</v>
      </c>
    </row>
    <row r="8" spans="1:5" x14ac:dyDescent="0.25">
      <c r="A8" t="s">
        <v>86</v>
      </c>
      <c r="B8" s="18">
        <v>625000000</v>
      </c>
      <c r="C8" s="18">
        <v>874000000</v>
      </c>
      <c r="D8" s="18">
        <v>1296000000</v>
      </c>
      <c r="E8" s="8" t="s">
        <v>87</v>
      </c>
    </row>
    <row r="9" spans="1:5" x14ac:dyDescent="0.25">
      <c r="A9" t="s">
        <v>88</v>
      </c>
      <c r="B9" s="18">
        <v>-4327000000</v>
      </c>
      <c r="C9" s="18">
        <v>1040000000</v>
      </c>
      <c r="D9" s="18">
        <v>2214000000</v>
      </c>
      <c r="E9" s="8" t="s">
        <v>89</v>
      </c>
    </row>
    <row r="10" spans="1:5" x14ac:dyDescent="0.25">
      <c r="A10" t="s">
        <v>90</v>
      </c>
      <c r="B10" s="18">
        <v>25876000000</v>
      </c>
      <c r="C10" s="18">
        <v>24135000000</v>
      </c>
      <c r="D10" s="18">
        <v>20943000000</v>
      </c>
      <c r="E10" s="8" t="s">
        <v>91</v>
      </c>
    </row>
    <row r="11" spans="1:5" x14ac:dyDescent="0.25">
      <c r="A11" t="s">
        <v>92</v>
      </c>
      <c r="B11" s="18">
        <v>27849000000</v>
      </c>
      <c r="C11" s="18">
        <v>27691000000</v>
      </c>
      <c r="D11" s="18">
        <v>21883000000</v>
      </c>
      <c r="E11" s="8" t="s">
        <v>93</v>
      </c>
    </row>
    <row r="12" spans="1:5" x14ac:dyDescent="0.25">
      <c r="A12" t="s">
        <v>32</v>
      </c>
      <c r="B12" s="34">
        <v>646400000</v>
      </c>
      <c r="C12" s="34">
        <v>652000000</v>
      </c>
      <c r="D12" s="34">
        <v>663100000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54" customHeight="1" spans="1:5" x14ac:dyDescent="0.25">
      <c r="A20" s="35" t="s">
        <v>100</v>
      </c>
      <c r="B20" s="35"/>
      <c r="C20" s="35"/>
      <c r="D20" s="35"/>
      <c r="E20" s="35"/>
    </row>
    <row r="21" ht="22" customHeight="1" spans="1:5" x14ac:dyDescent="0.25">
      <c r="A21" s="35" t="s">
        <v>101</v>
      </c>
      <c r="B21" s="35"/>
      <c r="C21" s="35"/>
      <c r="D21" s="35"/>
      <c r="E21" s="35"/>
    </row>
    <row r="23" spans="1:1" x14ac:dyDescent="0.25">
      <c r="A23" s="36" t="s">
        <v>102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2026-09-19T01:03:24Z</dcterms:modified>
</cp:coreProperties>
</file>