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<sst xmlns="http://schemas.openxmlformats.org/spreadsheetml/2006/main" count="113" uniqueCount="101">
  <si>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Power Grid Corporation of India Limited (POWERGRID.NS)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</si>
  <si>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</si>
  <si>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</si>
  <si>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</si>
  <si>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</si>
  <si>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</si>
  <si>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</si>
  <si>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</si>
  <si>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</si>
  <si>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</si>
  <si>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</si>
  <si>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</si>
  <si>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</si>
  <si>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</si>
  <si>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</si>
  <si>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</si>
  <si>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</si>
  <si>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</si>
  <si>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</si>
  <si>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</si>
  <si>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</si>
  <si>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</si>
  <si>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</si>
  <si>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</si>
  <si>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</si>
  <si>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</si>
  <si>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</si>
  <si>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</si>
  <si>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</si>
  <si>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</si>
  <si>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</si>
  <si>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</si>
  <si>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</si>
  <si>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</si>
  <si>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</si>
  <si>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</si>
  <si>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</si>
  <si>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</si>
  <si>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</si>
  <si>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</si>
  <si>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</si>
  <si>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</si>
  <si>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</si>
  <si>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</si>
  <si>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</si>
  <si>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</si>
  <si>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</si>
  <si>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</si>
  <si>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</si>
  <si>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</si>
  <si>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</si>
  <si>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</si>
  <si>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</si>
  <si>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</si>
  <si>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</si>
  <si>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</si>
  <si>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</si>
  <si>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</si>
  <si>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</si>
  <si>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</si>
  <si>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</si>
  <si>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</si>
  <si>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</si>
  <si>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</si>
  <si>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</si>
  <si>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</si>
  <si>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</si>
  <si>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</si>
  <si>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</si>
  <si>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</si>
  <si>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</si>
  <si>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</si>
  <si>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</si>
  <si>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</si>
  <si>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</si>
  <si>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</si>
  <si>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</si>
  <si>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</si>
  <si>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</si>
  <si>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</si>
  <si>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</si>
  <si>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</si>
  <si>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</si>
  <si>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</si>
  <si>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</si>
  <si>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</si>
  <si>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</si>
  <si>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</si>
  <si>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</si>
  <si>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</si>
  <si>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</si>
  <si>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</si>
  <si>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</si>
  <si>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</si>
  <si>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</si>
  <si>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</si>
  <si>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</si>
  <si>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</si>
  <si>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45.6% of revenue against depreciation of 29.6%.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</si>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</sst>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0.005725638002853417</v>
      </c>
    </row>
    <row r="7" spans="1:2" x14ac:dyDescent="0.25">
      <c r="A7" t="s">
        <v>5</v>
      </c>
      <c r="B7" s="6">
        <v>0.5853588245454939</v>
      </c>
    </row>
    <row r="8" spans="1:2" x14ac:dyDescent="0.25">
      <c r="A8" t="s">
        <v>6</v>
      </c>
      <c r="B8" s="6">
        <v>0.15408633013611495</v>
      </c>
    </row>
    <row r="9" spans="1:2" x14ac:dyDescent="0.25">
      <c r="A9" t="s">
        <v>7</v>
      </c>
      <c r="B9" s="6">
        <v>0.29588925839843483</v>
      </c>
    </row>
    <row r="10" spans="1:2" x14ac:dyDescent="0.25">
      <c r="A10" t="s">
        <v>8</v>
      </c>
      <c r="B10" s="6">
        <v>0.45644769219344816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10.317153489924953</v>
      </c>
    </row>
    <row r="14" spans="1:3" x14ac:dyDescent="0.25">
      <c r="A14" t="s">
        <v>12</v>
      </c>
      <c r="B14" s="6">
        <v>0.0990027206976172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0.43451999999999996</v>
      </c>
      <c r="C19" s="8" t="s">
        <v>19</v>
      </c>
    </row>
    <row r="20" spans="1:2" x14ac:dyDescent="0.25">
      <c r="A20" t="s">
        <v>20</v>
      </c>
      <c r="B20" s="10">
        <f>B17+B19*B18</f>
        <v>0.10276160000000001</v>
      </c>
    </row>
    <row r="21" spans="1:3" x14ac:dyDescent="0.25">
      <c r="A21" t="s">
        <v>21</v>
      </c>
      <c r="B21" s="6">
        <v>0.068</v>
      </c>
      <c r="C21" s="8" t="s">
        <v>22</v>
      </c>
    </row>
    <row r="22" spans="1:2" x14ac:dyDescent="0.25">
      <c r="A22" t="s">
        <v>23</v>
      </c>
      <c r="B22" s="11">
        <v>2513953095680</v>
      </c>
    </row>
    <row r="23" spans="1:2" x14ac:dyDescent="0.25">
      <c r="A23" t="s">
        <v>24</v>
      </c>
      <c r="B23" s="11">
        <v>1515581000000</v>
      </c>
    </row>
    <row r="24" spans="1:2" x14ac:dyDescent="0.25">
      <c r="A24" t="s">
        <v>25</v>
      </c>
      <c r="B24" s="10">
        <f>B22/(B22+B23)</f>
        <v>0.623881827523229</v>
      </c>
    </row>
    <row r="25" spans="1:2" x14ac:dyDescent="0.25">
      <c r="A25" t="s">
        <v>26</v>
      </c>
      <c r="B25" s="10">
        <f>1-B24</f>
        <v>0.37611817247677104</v>
      </c>
    </row>
    <row r="26" spans="1:2" x14ac:dyDescent="0.25">
      <c r="A26" t="s">
        <v>27</v>
      </c>
      <c r="B26" s="12">
        <f>B24*B20+B25*B21*(1-B8)</f>
        <v>0.08574621305080903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447654300000</v>
      </c>
      <c r="C29" s="8" t="s">
        <v>30</v>
      </c>
    </row>
    <row r="30" spans="1:2" x14ac:dyDescent="0.25">
      <c r="A30" t="s">
        <v>31</v>
      </c>
      <c r="B30" s="11">
        <v>1466247900000</v>
      </c>
    </row>
    <row r="31" spans="1:2" x14ac:dyDescent="0.25">
      <c r="A31" t="s">
        <v>32</v>
      </c>
      <c r="B31" s="13">
        <v>9300603819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0.005725638002853417</v>
      </c>
      <c r="C5" s="10">
        <f>Assumptions!B6</f>
        <v>0.005725638002853417</v>
      </c>
      <c r="D5" s="10">
        <f>Assumptions!B6</f>
        <v>0.005725638002853417</v>
      </c>
      <c r="E5" s="10">
        <f>Assumptions!B6</f>
        <v>0.005725638002853417</v>
      </c>
      <c r="F5" s="10">
        <f>Assumptions!B6</f>
        <v>0.005725638002853417</v>
      </c>
    </row>
    <row r="6" spans="1:6" x14ac:dyDescent="0.25">
      <c r="A6" t="s">
        <v>43</v>
      </c>
      <c r="B6" s="18">
        <f>Assumptions!B29*(1+B5)</f>
        <v>450217406472.22076</v>
      </c>
      <c r="C6" s="18">
        <f>B6*(1+C5)</f>
        <v>452795188364.2642</v>
      </c>
      <c r="D6" s="18">
        <f>C6*(1+D5)</f>
        <v>455387729702.27185</v>
      </c>
      <c r="E6" s="18">
        <f>D6*(1+E5)</f>
        <v>457995114993.48834</v>
      </c>
      <c r="F6" s="18">
        <f>E6*(1+F5)</f>
        <v>460617429229.0163</v>
      </c>
    </row>
    <row r="7" spans="1:6" x14ac:dyDescent="0.25">
      <c r="A7" t="s">
        <v>5</v>
      </c>
      <c r="B7" s="10">
        <f>Assumptions!B7</f>
        <v>0.5853588245454939</v>
      </c>
      <c r="C7" s="10">
        <f>Assumptions!B7</f>
        <v>0.5853588245454939</v>
      </c>
      <c r="D7" s="10">
        <f>Assumptions!B7</f>
        <v>0.5853588245454939</v>
      </c>
      <c r="E7" s="10">
        <f>Assumptions!B7</f>
        <v>0.5853588245454939</v>
      </c>
      <c r="F7" s="10">
        <f>Assumptions!B7</f>
        <v>0.5853588245454939</v>
      </c>
    </row>
    <row r="8" spans="1:6" x14ac:dyDescent="0.25">
      <c r="A8" t="s">
        <v>44</v>
      </c>
      <c r="B8" s="18">
        <f>B6*B7</f>
        <v>263538731842.5</v>
      </c>
      <c r="C8" s="18">
        <f>C6*C7</f>
        <v>265047659220.7612</v>
      </c>
      <c r="D8" s="18">
        <f>D6*D7</f>
        <v>266565226170.96295</v>
      </c>
      <c r="E8" s="18">
        <f>E6*E7</f>
        <v>268091482160.16666</v>
      </c>
      <c r="F8" s="18">
        <f>F6*F7</f>
        <v>269626476938.6642</v>
      </c>
    </row>
    <row r="9" spans="1:6" x14ac:dyDescent="0.25">
      <c r="A9" t="s">
        <v>45</v>
      </c>
      <c r="B9" s="18">
        <f>B8*(1-Assumptions!B8)</f>
        <v>222931015804.16348</v>
      </c>
      <c r="C9" s="18">
        <f>C8*(1-Assumptions!B8)</f>
        <v>224207438100.2665</v>
      </c>
      <c r="D9" s="18">
        <f>D8*(1-Assumptions!B8)</f>
        <v>225491168728.3758</v>
      </c>
      <c r="E9" s="18">
        <f>E8*(1-Assumptions!B8)</f>
        <v>226782249533.35486</v>
      </c>
      <c r="F9" s="18">
        <f>F8*(1-Assumptions!B8)</f>
        <v>228080722599.6556</v>
      </c>
    </row>
    <row r="10" spans="1:6" x14ac:dyDescent="0.25">
      <c r="A10" t="s">
        <v>46</v>
      </c>
      <c r="B10" s="18">
        <f>B6*Assumptions!B9</f>
        <v>133214494519.1321</v>
      </c>
      <c r="C10" s="18">
        <f>C6*Assumptions!B9</f>
        <v>133977232491.48175</v>
      </c>
      <c r="D10" s="18">
        <f>D6*Assumptions!B9</f>
        <v>134744337625.35211</v>
      </c>
      <c r="E10" s="18">
        <f>E6*Assumptions!B9</f>
        <v>135515834925.52914</v>
      </c>
      <c r="F10" s="18">
        <f>F6*Assumptions!B9</f>
        <v>136291749539.96716</v>
      </c>
    </row>
    <row r="11" spans="1:6" x14ac:dyDescent="0.25">
      <c r="A11" t="s">
        <v>47</v>
      </c>
      <c r="B11" s="18">
        <f>-B6*Assumptions!B10</f>
        <v>-205500696169.56476</v>
      </c>
      <c r="C11" s="18">
        <f>-C6*Assumptions!B10</f>
        <v>-206677318765.16605</v>
      </c>
      <c r="D11" s="18">
        <f>-D6*Assumptions!B10</f>
        <v>-207860678275.81577</v>
      </c>
      <c r="E11" s="18">
        <f>-E6*Assumptions!B10</f>
        <v>-209050813274.65067</v>
      </c>
      <c r="F11" s="18">
        <f>-F6*Assumptions!B10</f>
        <v>-210247762555.66342</v>
      </c>
    </row>
    <row r="12" spans="1:6" x14ac:dyDescent="0.25">
      <c r="A12" t="s">
        <v>48</v>
      </c>
      <c r="B12" s="18">
        <f>-(B6-Assumptions!B29)*Assumptions!B11</f>
        <v>2563106472.220764</v>
      </c>
      <c r="C12" s="18">
        <f>-(C6-B6)*Assumptions!B11</f>
        <v>2577781892.043457</v>
      </c>
      <c r="D12" s="18">
        <f>-(D6-C6)*Assumptions!B11</f>
        <v>2592541338.0076294</v>
      </c>
      <c r="E12" s="18">
        <f>-(E6-D6)*Assumptions!B11</f>
        <v>2607385291.2164917</v>
      </c>
      <c r="F12" s="18">
        <f>-(F6-E6)*Assumptions!B11</f>
        <v>2622314235.527954</v>
      </c>
    </row>
    <row r="13" spans="1:6" x14ac:dyDescent="0.25">
      <c r="A13" s="19" t="s">
        <v>49</v>
      </c>
      <c r="B13" s="20">
        <f>B9+B10+B11+B12</f>
        <v>153207920625.9516</v>
      </c>
      <c r="C13" s="20">
        <f>C9+C10+C11+C12</f>
        <v>154085133718.6257</v>
      </c>
      <c r="D13" s="20">
        <f>D9+D10+D11+D12</f>
        <v>154967369415.91977</v>
      </c>
      <c r="E13" s="20">
        <f>E9+E10+E11+E12</f>
        <v>155854656475.44986</v>
      </c>
      <c r="F13" s="20">
        <f>F9+F10+F11+F12</f>
        <v>156747023819.48734</v>
      </c>
    </row>
    <row r="14" spans="1:6" x14ac:dyDescent="0.25">
      <c r="A14" t="s">
        <v>50</v>
      </c>
      <c r="B14" s="21">
        <f>1/(1+Assumptions!$B$26)^(1-0.5*Assumptions!$B$32)</f>
        <v>0.9597007591974652</v>
      </c>
      <c r="C14" s="21">
        <f>1/(1+Assumptions!$B$26)^(2-0.5*Assumptions!$B$32)</f>
        <v>0.8839089168921235</v>
      </c>
      <c r="D14" s="21">
        <f>1/(1+Assumptions!$B$26)^(3-0.5*Assumptions!$B$32)</f>
        <v>0.8141026938592322</v>
      </c>
      <c r="E14" s="21">
        <f>1/(1+Assumptions!$B$26)^(4-0.5*Assumptions!$B$32)</f>
        <v>0.7498093790921055</v>
      </c>
      <c r="F14" s="21">
        <f>1/(1+Assumptions!$B$26)^(5-0.5*Assumptions!$B$32)</f>
        <v>0.6905935936771416</v>
      </c>
    </row>
    <row r="15" spans="1:6" x14ac:dyDescent="0.25">
      <c r="A15" s="19" t="s">
        <v>51</v>
      </c>
      <c r="B15" s="20">
        <f>B13*B14</f>
        <v>147033757739.79074</v>
      </c>
      <c r="C15" s="20">
        <f>C13*C14</f>
        <v>136197223654.40846</v>
      </c>
      <c r="D15" s="20">
        <f>D13*D14</f>
        <v>126159352901.77907</v>
      </c>
      <c r="E15" s="20">
        <f>E13*E14</f>
        <v>116861283200.47046</v>
      </c>
      <c r="F15" s="20">
        <f>F13*F14</f>
        <v>108248490477.69627</v>
      </c>
    </row>
    <row r="17" spans="1:2" x14ac:dyDescent="0.25">
      <c r="A17" s="22" t="s">
        <v>52</v>
      </c>
      <c r="B17" s="23">
        <f>SUM(B15:F15)</f>
        <v>634500107974.145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156747023819.48734</v>
      </c>
    </row>
    <row r="5" spans="1:2" x14ac:dyDescent="0.25">
      <c r="A5" t="s">
        <v>56</v>
      </c>
      <c r="B5" s="18">
        <f>IF(Assumptions!$B$33=0,B4,B4-Forecast!F11-Forecast!F10-Forecast!F12)</f>
        <v>228629187651.718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0.2525183128689685</v>
      </c>
    </row>
    <row r="7" spans="1:2" x14ac:dyDescent="0.25">
      <c r="A7" t="s">
        <v>58</v>
      </c>
      <c r="B7" s="18">
        <f>-MAX(Forecast!F9,0)*B6</f>
        <v>-57733056738.41463</v>
      </c>
    </row>
    <row r="8" spans="1:2" x14ac:dyDescent="0.25">
      <c r="A8" t="s">
        <v>59</v>
      </c>
      <c r="B8" s="18">
        <f>IF(OR(Assumptions!$B$33=0,Assumptions!B12&lt;=0),B5,MAX(B5+B7,0))</f>
        <v>170896130913.30334</v>
      </c>
    </row>
    <row r="9" spans="1:2" x14ac:dyDescent="0.25">
      <c r="A9" t="s">
        <v>60</v>
      </c>
      <c r="B9" s="18">
        <f>B8*(1+Assumptions!B12)/(Assumptions!B26-Assumptions!B12)</f>
        <v>2883612416129.091</v>
      </c>
    </row>
    <row r="10" spans="1:2" x14ac:dyDescent="0.25">
      <c r="A10" t="s">
        <v>61</v>
      </c>
      <c r="B10" s="18">
        <f>B9/(1+Assumptions!B26)^(5-0.5*Assumptions!B32)</f>
        <v>1991404261226.6138</v>
      </c>
    </row>
    <row r="11" spans="1:2" x14ac:dyDescent="0.25">
      <c r="A11" t="s">
        <v>62</v>
      </c>
      <c r="B11" s="18">
        <f>Forecast!B17+B10</f>
        <v>2625904369200.759</v>
      </c>
    </row>
    <row r="12" spans="1:2" x14ac:dyDescent="0.25">
      <c r="A12" t="s">
        <v>63</v>
      </c>
      <c r="B12" s="18">
        <f>-Assumptions!B30</f>
        <v>-1466247900000</v>
      </c>
    </row>
    <row r="13" spans="1:2" x14ac:dyDescent="0.25">
      <c r="A13" t="s">
        <v>64</v>
      </c>
      <c r="B13" s="18">
        <f>B11+B12</f>
        <v>1159656469200.7588</v>
      </c>
    </row>
    <row r="14" spans="1:2" x14ac:dyDescent="0.25">
      <c r="A14" s="19" t="s">
        <v>65</v>
      </c>
      <c r="B14" s="24">
        <f>B13/Assumptions!B31</f>
        <v>124.68614853067088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405918226478.63135</v>
      </c>
    </row>
    <row r="18" spans="1:2" x14ac:dyDescent="0.25">
      <c r="A18" t="s">
        <v>60</v>
      </c>
      <c r="B18" s="18">
        <f>B17*Assumptions!B13</f>
        <v>4187920646938.159</v>
      </c>
    </row>
    <row r="19" spans="1:2" x14ac:dyDescent="0.25">
      <c r="A19" t="s">
        <v>61</v>
      </c>
      <c r="B19" s="18">
        <f>B18/(1+Assumptions!B26)^(5-0.5*Assumptions!B32)</f>
        <v>2892151169603.723</v>
      </c>
    </row>
    <row r="20" spans="1:2" x14ac:dyDescent="0.25">
      <c r="A20" t="s">
        <v>62</v>
      </c>
      <c r="B20" s="18">
        <f>Forecast!B17+B19</f>
        <v>3526651277577.868</v>
      </c>
    </row>
    <row r="21" spans="1:2" x14ac:dyDescent="0.25">
      <c r="A21" t="s">
        <v>63</v>
      </c>
      <c r="B21" s="18">
        <f>-Assumptions!B30</f>
        <v>-1466247900000</v>
      </c>
    </row>
    <row r="22" spans="1:2" x14ac:dyDescent="0.25">
      <c r="A22" t="s">
        <v>64</v>
      </c>
      <c r="B22" s="18">
        <f>B20+B21</f>
        <v>2060403377577.8682</v>
      </c>
    </row>
    <row r="23" spans="1:2" x14ac:dyDescent="0.25">
      <c r="A23" s="19" t="s">
        <v>65</v>
      </c>
      <c r="B23" s="25">
        <f>B22/Assumptions!B31</f>
        <v>221.53436676538303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270.3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124.68614853067088</v>
      </c>
    </row>
    <row r="29" spans="1:2" x14ac:dyDescent="0.25">
      <c r="A29" s="19" t="s">
        <v>73</v>
      </c>
      <c r="B29" s="12">
        <f>B28/B26-1</f>
        <v>-0.5387119921173849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0.065746</v>
      </c>
      <c r="B5" s="31">
        <v>226.88695292434838</v>
      </c>
      <c r="C5" s="31">
        <v>242.05159455060974</v>
      </c>
      <c r="D5" s="31">
        <v>260.7092066531207</v>
      </c>
      <c r="E5" s="31">
        <v>284.32553524944296</v>
      </c>
      <c r="F5" s="31">
        <v>315.31978112690376</v>
      </c>
    </row>
    <row r="6" spans="1:6" x14ac:dyDescent="0.25">
      <c r="A6" s="30">
        <v>0.075746</v>
      </c>
      <c r="B6" s="31">
        <v>162.98634889711803</v>
      </c>
      <c r="C6" s="31">
        <v>170.4837015145792</v>
      </c>
      <c r="D6" s="31">
        <v>179.28234559060516</v>
      </c>
      <c r="E6" s="31">
        <v>189.8089713686812</v>
      </c>
      <c r="F6" s="31">
        <v>202.69970817513985</v>
      </c>
    </row>
    <row r="7" spans="1:6" x14ac:dyDescent="0.25">
      <c r="A7" s="30">
        <v>0.085746</v>
      </c>
      <c r="B7" s="31">
        <v>117.22935753062944</v>
      </c>
      <c r="C7" s="31">
        <v>120.73985930226121</v>
      </c>
      <c r="D7" s="32">
        <v>124.68711997555582</v>
      </c>
      <c r="E7" s="31">
        <v>129.18866158841644</v>
      </c>
      <c r="F7" s="31">
        <v>134.40832393301372</v>
      </c>
    </row>
    <row r="8" spans="1:6" x14ac:dyDescent="0.25">
      <c r="A8" s="30">
        <v>0.095746</v>
      </c>
      <c r="B8" s="31">
        <v>82.87069092328498</v>
      </c>
      <c r="C8" s="31">
        <v>84.17342406345867</v>
      </c>
      <c r="D8" s="31">
        <v>85.54400827002732</v>
      </c>
      <c r="E8" s="31">
        <v>86.99792381549342</v>
      </c>
      <c r="F8" s="31">
        <v>88.55574769395453</v>
      </c>
    </row>
    <row r="9" spans="1:6" x14ac:dyDescent="0.25">
      <c r="A9" s="30">
        <v>0.105746</v>
      </c>
      <c r="B9" s="31">
        <v>57.82848218045615</v>
      </c>
      <c r="C9" s="31">
        <v>58.567878675551505</v>
      </c>
      <c r="D9" s="31">
        <v>59.307275170646804</v>
      </c>
      <c r="E9" s="31">
        <v>60.04667166574216</v>
      </c>
      <c r="F9" s="31">
        <v>60.78606816083746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447654300000</v>
      </c>
      <c r="C5" s="18">
        <v>440729200000</v>
      </c>
      <c r="D5" s="18">
        <v>442027500000</v>
      </c>
      <c r="E5" s="18">
        <v>440052200000</v>
      </c>
      <c r="F5" s="8" t="s">
        <v>84</v>
      </c>
    </row>
    <row r="6" spans="1:6" x14ac:dyDescent="0.25">
      <c r="A6" t="s">
        <v>44</v>
      </c>
      <c r="B6" s="18">
        <v>255378300000</v>
      </c>
      <c r="C6" s="18">
        <v>257623200000</v>
      </c>
      <c r="D6" s="18">
        <v>268076200000</v>
      </c>
      <c r="E6" s="18">
        <v>255206600000</v>
      </c>
      <c r="F6" s="8" t="s">
        <v>85</v>
      </c>
    </row>
    <row r="7" spans="1:6" x14ac:dyDescent="0.25">
      <c r="A7" t="s">
        <v>86</v>
      </c>
      <c r="B7" s="18">
        <v>130406500000</v>
      </c>
      <c r="C7" s="18">
        <v>129132000000</v>
      </c>
      <c r="D7" s="18">
        <v>130952700000</v>
      </c>
      <c r="E7" s="18">
        <v>133333800000</v>
      </c>
      <c r="F7" s="8" t="s">
        <v>87</v>
      </c>
    </row>
    <row r="8" spans="1:6" x14ac:dyDescent="0.25">
      <c r="A8" t="s">
        <v>88</v>
      </c>
      <c r="B8" s="18">
        <v>372791100000</v>
      </c>
      <c r="C8" s="18">
        <v>241340400000</v>
      </c>
      <c r="D8" s="18">
        <v>114096800000</v>
      </c>
      <c r="E8" s="18">
        <v>82426300000</v>
      </c>
      <c r="F8" s="8" t="s">
        <v>89</v>
      </c>
    </row>
    <row r="9" spans="1:6" x14ac:dyDescent="0.25">
      <c r="A9" t="s">
        <v>90</v>
      </c>
      <c r="B9" s="18">
        <v>-57295500000</v>
      </c>
      <c r="C9" s="18">
        <v>-7094600000</v>
      </c>
      <c r="D9" s="18">
        <v>-10531600000</v>
      </c>
      <c r="E9" s="18">
        <v>-25486400000</v>
      </c>
      <c r="F9" s="8" t="s">
        <v>91</v>
      </c>
    </row>
    <row r="10" spans="1:6" x14ac:dyDescent="0.25">
      <c r="A10" t="s">
        <v>92</v>
      </c>
      <c r="B10" s="18">
        <v>1515581000000</v>
      </c>
      <c r="C10" s="18">
        <v>1345177100000</v>
      </c>
      <c r="D10" s="18">
        <v>1270037100000</v>
      </c>
      <c r="E10" s="18">
        <v>1285838100000</v>
      </c>
      <c r="F10" s="8" t="s">
        <v>93</v>
      </c>
    </row>
    <row r="11" spans="1:6" x14ac:dyDescent="0.25">
      <c r="A11" t="s">
        <v>94</v>
      </c>
      <c r="B11" s="18">
        <v>49333100000</v>
      </c>
      <c r="C11" s="18">
        <v>67515400000</v>
      </c>
      <c r="D11" s="18">
        <v>53694900000</v>
      </c>
      <c r="E11" s="18">
        <v>85659400000</v>
      </c>
      <c r="F11" s="8" t="s">
        <v>95</v>
      </c>
    </row>
    <row r="12" spans="1:6" x14ac:dyDescent="0.25">
      <c r="A12" t="s">
        <v>32</v>
      </c>
      <c r="B12" s="34">
        <v>9300603819</v>
      </c>
      <c r="C12" s="34">
        <v>9300603819</v>
      </c>
      <c r="D12" s="34">
        <v>9302962963</v>
      </c>
      <c r="E12" s="34">
        <v>9300603819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2026-09-19T00:08:44Z</dcterms:modified>
</cp:coreProperties>
</file>