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<sst xmlns="http://schemas.openxmlformats.org/spreadsheetml/2006/main" count="111" uniqueCount="99">
  <si>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PPG Industries, Inc. (PPG)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</si>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</sst>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0.005541161450504539</v>
      </c>
    </row>
    <row r="7" spans="1:2" x14ac:dyDescent="0.25">
      <c r="A7" t="s">
        <v>5</v>
      </c>
      <c r="B7" s="6">
        <v>0.13116382711250987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0.032026907552024544</v>
      </c>
    </row>
    <row r="10" spans="1:2" x14ac:dyDescent="0.25">
      <c r="A10" t="s">
        <v>8</v>
      </c>
      <c r="B10" s="6">
        <v>0.03935164663068663</v>
      </c>
    </row>
    <row r="11" spans="1:2" x14ac:dyDescent="0.25">
      <c r="A11" t="s">
        <v>9</v>
      </c>
      <c r="B11" s="6">
        <v>-0.4585987261146497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10.719983507601038</v>
      </c>
    </row>
    <row r="14" spans="1:3" x14ac:dyDescent="0.25">
      <c r="A14" t="s">
        <v>12</v>
      </c>
      <c r="B14" s="6">
        <v>0.1194765047269907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1.0422099999999999</v>
      </c>
      <c r="C19" s="8" t="s">
        <v>19</v>
      </c>
    </row>
    <row r="20" spans="1:2" x14ac:dyDescent="0.25">
      <c r="A20" t="s">
        <v>20</v>
      </c>
      <c r="B20" s="10">
        <f>B17+B19*B18</f>
        <v>0.10730155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23234795520</v>
      </c>
    </row>
    <row r="23" spans="1:2" x14ac:dyDescent="0.25">
      <c r="A23" t="s">
        <v>24</v>
      </c>
      <c r="B23" s="11">
        <v>7896000000</v>
      </c>
    </row>
    <row r="24" spans="1:2" x14ac:dyDescent="0.25">
      <c r="A24" t="s">
        <v>25</v>
      </c>
      <c r="B24" s="10">
        <f>B22/(B22+B23)</f>
        <v>0.7463604810571831</v>
      </c>
    </row>
    <row r="25" spans="1:2" x14ac:dyDescent="0.25">
      <c r="A25" t="s">
        <v>26</v>
      </c>
      <c r="B25" s="10">
        <f>1-B24</f>
        <v>0.2536395189428169</v>
      </c>
    </row>
    <row r="26" spans="1:2" x14ac:dyDescent="0.25">
      <c r="A26" t="s">
        <v>27</v>
      </c>
      <c r="B26" s="12">
        <f>B24*B20+B25*B21*(1-B8)</f>
        <v>0.09010038997002336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15875000000</v>
      </c>
      <c r="C29" s="8" t="s">
        <v>30</v>
      </c>
    </row>
    <row r="30" spans="1:2" x14ac:dyDescent="0.25">
      <c r="A30" t="s">
        <v>31</v>
      </c>
      <c r="B30" s="11">
        <v>5677000000</v>
      </c>
    </row>
    <row r="31" spans="1:2" x14ac:dyDescent="0.25">
      <c r="A31" t="s">
        <v>32</v>
      </c>
      <c r="B31" s="13">
        <v>227100000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0.005541161450504539</v>
      </c>
      <c r="C5" s="10">
        <f>Assumptions!B6</f>
        <v>0.005541161450504539</v>
      </c>
      <c r="D5" s="10">
        <f>Assumptions!B6</f>
        <v>0.005541161450504539</v>
      </c>
      <c r="E5" s="10">
        <f>Assumptions!B6</f>
        <v>0.005541161450504539</v>
      </c>
      <c r="F5" s="10">
        <f>Assumptions!B6</f>
        <v>0.005541161450504539</v>
      </c>
    </row>
    <row r="6" spans="1:6" x14ac:dyDescent="0.25">
      <c r="A6" t="s">
        <v>43</v>
      </c>
      <c r="B6" s="18">
        <f>Assumptions!B29*(1+B5)</f>
        <v>15962965938.02676</v>
      </c>
      <c r="C6" s="18">
        <f>B6*(1+C5)</f>
        <v>16051419309.51827</v>
      </c>
      <c r="D6" s="18">
        <f>C6*(1+D5)</f>
        <v>16140362815.422058</v>
      </c>
      <c r="E6" s="18">
        <f>D6*(1+E5)</f>
        <v>16229799171.65203</v>
      </c>
      <c r="F6" s="18">
        <f>E6*(1+F5)</f>
        <v>16319731109.17142</v>
      </c>
    </row>
    <row r="7" spans="1:6" x14ac:dyDescent="0.25">
      <c r="A7" t="s">
        <v>5</v>
      </c>
      <c r="B7" s="10">
        <f>Assumptions!B7</f>
        <v>0.13116382711250987</v>
      </c>
      <c r="C7" s="10">
        <f>Assumptions!B7</f>
        <v>0.13116382711250987</v>
      </c>
      <c r="D7" s="10">
        <f>Assumptions!B7</f>
        <v>0.13116382711250987</v>
      </c>
      <c r="E7" s="10">
        <f>Assumptions!B7</f>
        <v>0.13116382711250987</v>
      </c>
      <c r="F7" s="10">
        <f>Assumptions!B7</f>
        <v>0.13116382711250987</v>
      </c>
    </row>
    <row r="8" spans="1:6" x14ac:dyDescent="0.25">
      <c r="A8" t="s">
        <v>44</v>
      </c>
      <c r="B8" s="18">
        <f>B6*B7</f>
        <v>2093763704.498226</v>
      </c>
      <c r="C8" s="18">
        <f>C6*C7</f>
        <v>2105365587.224057</v>
      </c>
      <c r="D8" s="18">
        <f>D6*D7</f>
        <v>2117031757.855202</v>
      </c>
      <c r="E8" s="18">
        <f>E6*E7</f>
        <v>2128762572.6213229</v>
      </c>
      <c r="F8" s="18">
        <f>F6*F7</f>
        <v>2140558389.726009</v>
      </c>
    </row>
    <row r="9" spans="1:6" x14ac:dyDescent="0.25">
      <c r="A9" t="s">
        <v>45</v>
      </c>
      <c r="B9" s="18">
        <f>B8*(1-Assumptions!B8)</f>
        <v>1654073326.5535986</v>
      </c>
      <c r="C9" s="18">
        <f>C8*(1-Assumptions!B8)</f>
        <v>1663238813.907005</v>
      </c>
      <c r="D9" s="18">
        <f>D8*(1-Assumptions!B8)</f>
        <v>1672455088.7056096</v>
      </c>
      <c r="E9" s="18">
        <f>E8*(1-Assumptions!B8)</f>
        <v>1681722432.370845</v>
      </c>
      <c r="F9" s="18">
        <f>F8*(1-Assumptions!B8)</f>
        <v>1691041127.883547</v>
      </c>
    </row>
    <row r="10" spans="1:6" x14ac:dyDescent="0.25">
      <c r="A10" t="s">
        <v>46</v>
      </c>
      <c r="B10" s="18">
        <f>B6*Assumptions!B9</f>
        <v>511244434.3532998</v>
      </c>
      <c r="C10" s="18">
        <f>C6*Assumptions!B9</f>
        <v>514077322.3047233</v>
      </c>
      <c r="D10" s="18">
        <f>D6*Assumptions!B9</f>
        <v>516925907.74565685</v>
      </c>
      <c r="E10" s="18">
        <f>E6*Assumptions!B9</f>
        <v>519790277.65842414</v>
      </c>
      <c r="F10" s="18">
        <f>F6*Assumptions!B9</f>
        <v>522670519.507332</v>
      </c>
    </row>
    <row r="11" spans="1:6" x14ac:dyDescent="0.25">
      <c r="A11" t="s">
        <v>47</v>
      </c>
      <c r="B11" s="18">
        <f>-B6*Assumptions!B10</f>
        <v>-628168994.7709162</v>
      </c>
      <c r="C11" s="18">
        <f>-C6*Assumptions!B10</f>
        <v>-631649780.589143</v>
      </c>
      <c r="D11" s="18">
        <f>-D6*Assumptions!B10</f>
        <v>-635149854.0035633</v>
      </c>
      <c r="E11" s="18">
        <f>-E6*Assumptions!B10</f>
        <v>-638669321.8898613</v>
      </c>
      <c r="F11" s="18">
        <f>-F6*Assumptions!B10</f>
        <v>-642208291.7159373</v>
      </c>
    </row>
    <row r="12" spans="1:6" x14ac:dyDescent="0.25">
      <c r="A12" t="s">
        <v>48</v>
      </c>
      <c r="B12" s="18">
        <f>-(B6-Assumptions!B29)*Assumptions!B11</f>
        <v>40341067.120552406</v>
      </c>
      <c r="C12" s="18">
        <f>-(C6-B6)*Assumptions!B11</f>
        <v>40564603.48655254</v>
      </c>
      <c r="D12" s="18">
        <f>-(D6-C6)*Assumptions!B11</f>
        <v>40789378.50364783</v>
      </c>
      <c r="E12" s="18">
        <f>-(E6-D6)*Assumptions!B11</f>
        <v>41015399.03540156</v>
      </c>
      <c r="F12" s="18">
        <f>-(F6-E6)*Assumptions!B11</f>
        <v>41242671.9834137</v>
      </c>
    </row>
    <row r="13" spans="1:6" x14ac:dyDescent="0.25">
      <c r="A13" s="19" t="s">
        <v>49</v>
      </c>
      <c r="B13" s="20">
        <f>B9+B10+B11+B12</f>
        <v>1577489833.2565346</v>
      </c>
      <c r="C13" s="20">
        <f>C9+C10+C11+C12</f>
        <v>1586230959.109138</v>
      </c>
      <c r="D13" s="20">
        <f>D9+D10+D11+D12</f>
        <v>1595020520.9513507</v>
      </c>
      <c r="E13" s="20">
        <f>E9+E10+E11+E12</f>
        <v>1603858787.1748095</v>
      </c>
      <c r="F13" s="20">
        <f>F9+F10+F11+F12</f>
        <v>1612746027.6583557</v>
      </c>
    </row>
    <row r="14" spans="1:6" x14ac:dyDescent="0.25">
      <c r="A14" t="s">
        <v>50</v>
      </c>
      <c r="B14" s="21">
        <f>1/(1+Assumptions!$B$26)^(1-0.5*Assumptions!$B$32)</f>
        <v>0.9577821799410963</v>
      </c>
      <c r="C14" s="21">
        <f>1/(1+Assumptions!$B$26)^(2-0.5*Assumptions!$B$32)</f>
        <v>0.8786183261226373</v>
      </c>
      <c r="D14" s="21">
        <f>1/(1+Assumptions!$B$26)^(3-0.5*Assumptions!$B$32)</f>
        <v>0.8059976257294966</v>
      </c>
      <c r="E14" s="21">
        <f>1/(1+Assumptions!$B$26)^(4-0.5*Assumptions!$B$32)</f>
        <v>0.7393792655662299</v>
      </c>
      <c r="F14" s="21">
        <f>1/(1+Assumptions!$B$26)^(5-0.5*Assumptions!$B$32)</f>
        <v>0.6782671324304012</v>
      </c>
    </row>
    <row r="15" spans="1:6" x14ac:dyDescent="0.25">
      <c r="A15" s="19" t="s">
        <v>51</v>
      </c>
      <c r="B15" s="20">
        <f>B13*B14</f>
        <v>1510891651.33136</v>
      </c>
      <c r="C15" s="20">
        <f>C13*C14</f>
        <v>1393691590.1363764</v>
      </c>
      <c r="D15" s="20">
        <f>D13*D14</f>
        <v>1285582752.8766134</v>
      </c>
      <c r="E15" s="20">
        <f>E13*E14</f>
        <v>1185859932.1332548</v>
      </c>
      <c r="F15" s="20">
        <f>F13*F14</f>
        <v>1093872623.5183535</v>
      </c>
    </row>
    <row r="17" spans="1:2" x14ac:dyDescent="0.25">
      <c r="A17" s="22" t="s">
        <v>52</v>
      </c>
      <c r="B17" s="23">
        <f>SUM(B15:F15)</f>
        <v>6469898549.995958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1612746027.6583557</v>
      </c>
    </row>
    <row r="5" spans="1:2" x14ac:dyDescent="0.25">
      <c r="A5" t="s">
        <v>56</v>
      </c>
      <c r="B5" s="18">
        <f>IF(Assumptions!$B$33=0,B4,B4-Forecast!F11-Forecast!F10-Forecast!F12)</f>
        <v>1803763754.6125145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0.2092461614702083</v>
      </c>
    </row>
    <row r="7" spans="1:2" x14ac:dyDescent="0.25">
      <c r="A7" t="s">
        <v>58</v>
      </c>
      <c r="B7" s="18">
        <f>-MAX(Forecast!F9,0)*B6</f>
        <v>-377430641.8517594</v>
      </c>
    </row>
    <row r="8" spans="1:2" x14ac:dyDescent="0.25">
      <c r="A8" t="s">
        <v>59</v>
      </c>
      <c r="B8" s="18">
        <f>IF(OR(Assumptions!$B$33=0,Assumptions!B12&lt;=0),B5,MAX(B5+B7,0))</f>
        <v>1426333112.760755</v>
      </c>
    </row>
    <row r="9" spans="1:2" x14ac:dyDescent="0.25">
      <c r="A9" t="s">
        <v>60</v>
      </c>
      <c r="B9" s="18">
        <f>B8*(1+Assumptions!B12)/(Assumptions!B26-Assumptions!B12)</f>
        <v>22457491287.73229</v>
      </c>
    </row>
    <row r="10" spans="1:2" x14ac:dyDescent="0.25">
      <c r="A10" t="s">
        <v>61</v>
      </c>
      <c r="B10" s="18">
        <f>B9/(1+Assumptions!B26)^(5-0.5*Assumptions!B32)</f>
        <v>15232178217.310896</v>
      </c>
    </row>
    <row r="11" spans="1:2" x14ac:dyDescent="0.25">
      <c r="A11" t="s">
        <v>62</v>
      </c>
      <c r="B11" s="18">
        <f>Forecast!B17+B10</f>
        <v>21702076767.306854</v>
      </c>
    </row>
    <row r="12" spans="1:2" x14ac:dyDescent="0.25">
      <c r="A12" t="s">
        <v>63</v>
      </c>
      <c r="B12" s="18">
        <f>-Assumptions!B30</f>
        <v>-5677000000</v>
      </c>
    </row>
    <row r="13" spans="1:2" x14ac:dyDescent="0.25">
      <c r="A13" t="s">
        <v>64</v>
      </c>
      <c r="B13" s="18">
        <f>B11+B12</f>
        <v>16025076767.306854</v>
      </c>
    </row>
    <row r="14" spans="1:2" x14ac:dyDescent="0.25">
      <c r="A14" s="19" t="s">
        <v>65</v>
      </c>
      <c r="B14" s="24">
        <f>B13/Assumptions!B31</f>
        <v>70.56396639060702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2663228909.2333407</v>
      </c>
    </row>
    <row r="18" spans="1:2" x14ac:dyDescent="0.25">
      <c r="A18" t="s">
        <v>60</v>
      </c>
      <c r="B18" s="18">
        <f>B17*Assumptions!B13</f>
        <v>28549769983.947712</v>
      </c>
    </row>
    <row r="19" spans="1:2" x14ac:dyDescent="0.25">
      <c r="A19" t="s">
        <v>61</v>
      </c>
      <c r="B19" s="18">
        <f>B18/(1+Assumptions!B26)^(5-0.5*Assumptions!B32)</f>
        <v>19364370618.559753</v>
      </c>
    </row>
    <row r="20" spans="1:2" x14ac:dyDescent="0.25">
      <c r="A20" t="s">
        <v>62</v>
      </c>
      <c r="B20" s="18">
        <f>Forecast!B17+B19</f>
        <v>25834269168.55571</v>
      </c>
    </row>
    <row r="21" spans="1:2" x14ac:dyDescent="0.25">
      <c r="A21" t="s">
        <v>63</v>
      </c>
      <c r="B21" s="18">
        <f>-Assumptions!B30</f>
        <v>-5677000000</v>
      </c>
    </row>
    <row r="22" spans="1:2" x14ac:dyDescent="0.25">
      <c r="A22" t="s">
        <v>64</v>
      </c>
      <c r="B22" s="18">
        <f>B20+B21</f>
        <v>20157269168.55571</v>
      </c>
    </row>
    <row r="23" spans="1:2" x14ac:dyDescent="0.25">
      <c r="A23" s="19" t="s">
        <v>65</v>
      </c>
      <c r="B23" s="25">
        <f>B22/Assumptions!B31</f>
        <v>88.7594415171982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104.52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70.56396639060702</v>
      </c>
    </row>
    <row r="29" spans="1:2" x14ac:dyDescent="0.25">
      <c r="A29" s="19" t="s">
        <v>73</v>
      </c>
      <c r="B29" s="12">
        <f>B28/B26-1</f>
        <v>-0.32487594344999016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0.0701</v>
      </c>
      <c r="B5" s="31">
        <v>99.08250710799975</v>
      </c>
      <c r="C5" s="31">
        <v>104.01779653736149</v>
      </c>
      <c r="D5" s="31">
        <v>109.99305215603665</v>
      </c>
      <c r="E5" s="31">
        <v>117.39728874805772</v>
      </c>
      <c r="F5" s="31">
        <v>126.84118194305964</v>
      </c>
    </row>
    <row r="6" spans="1:6" x14ac:dyDescent="0.25">
      <c r="A6" s="30">
        <v>0.0801</v>
      </c>
      <c r="B6" s="31">
        <v>80.67357896326173</v>
      </c>
      <c r="C6" s="31">
        <v>83.46308724330292</v>
      </c>
      <c r="D6" s="31">
        <v>86.71620920035011</v>
      </c>
      <c r="E6" s="31">
        <v>90.57175132452484</v>
      </c>
      <c r="F6" s="31">
        <v>95.2300750904815</v>
      </c>
    </row>
    <row r="7" spans="1:6" x14ac:dyDescent="0.25">
      <c r="A7" s="30">
        <v>0.0901</v>
      </c>
      <c r="B7" s="31">
        <v>67.16016639667015</v>
      </c>
      <c r="C7" s="31">
        <v>68.75700393898809</v>
      </c>
      <c r="D7" s="32">
        <v>70.56449999035722</v>
      </c>
      <c r="E7" s="31">
        <v>72.6352315497087</v>
      </c>
      <c r="F7" s="31">
        <v>75.0408598261122</v>
      </c>
    </row>
    <row r="8" spans="1:6" x14ac:dyDescent="0.25">
      <c r="A8" s="30">
        <v>0.1001</v>
      </c>
      <c r="B8" s="31">
        <v>56.8167258668638</v>
      </c>
      <c r="C8" s="31">
        <v>57.70972927243614</v>
      </c>
      <c r="D8" s="31">
        <v>58.69282978916681</v>
      </c>
      <c r="E8" s="31">
        <v>59.785306399471985</v>
      </c>
      <c r="F8" s="31">
        <v>61.01236096823057</v>
      </c>
    </row>
    <row r="9" spans="1:6" x14ac:dyDescent="0.25">
      <c r="A9" s="30">
        <v>0.1101</v>
      </c>
      <c r="B9" s="31">
        <v>48.64348110855077</v>
      </c>
      <c r="C9" s="31">
        <v>49.10358003949893</v>
      </c>
      <c r="D9" s="31">
        <v>49.59333334486464</v>
      </c>
      <c r="E9" s="31">
        <v>50.1182942782842</v>
      </c>
      <c r="F9" s="31">
        <v>50.6854949891691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15875000000</v>
      </c>
      <c r="C5" s="18">
        <v>15845000000</v>
      </c>
      <c r="D5" s="18">
        <v>16242000000</v>
      </c>
      <c r="E5" s="18">
        <v>15614000000</v>
      </c>
      <c r="F5" s="8" t="s">
        <v>84</v>
      </c>
    </row>
    <row r="6" spans="1:6" x14ac:dyDescent="0.25">
      <c r="A6" t="s">
        <v>44</v>
      </c>
      <c r="B6" s="18">
        <v>2169000000</v>
      </c>
      <c r="C6" s="18">
        <v>2287000000</v>
      </c>
      <c r="D6" s="18">
        <v>2225000000</v>
      </c>
      <c r="E6" s="18">
        <v>1666000000</v>
      </c>
      <c r="F6" s="8" t="s">
        <v>85</v>
      </c>
    </row>
    <row r="7" spans="1:6" x14ac:dyDescent="0.25">
      <c r="A7" t="s">
        <v>86</v>
      </c>
      <c r="B7" s="18">
        <v>528000000</v>
      </c>
      <c r="C7" s="18">
        <v>492000000</v>
      </c>
      <c r="D7" s="18">
        <v>514000000</v>
      </c>
      <c r="E7" s="18">
        <v>502000000</v>
      </c>
      <c r="F7" s="8" t="s">
        <v>87</v>
      </c>
    </row>
    <row r="8" spans="1:6" x14ac:dyDescent="0.25">
      <c r="A8" t="s">
        <v>88</v>
      </c>
      <c r="B8" s="18">
        <v>778000000</v>
      </c>
      <c r="C8" s="18">
        <v>721000000</v>
      </c>
      <c r="D8" s="18">
        <v>516000000</v>
      </c>
      <c r="E8" s="18">
        <v>486000000</v>
      </c>
      <c r="F8" s="8" t="s">
        <v>89</v>
      </c>
    </row>
    <row r="9" spans="1:6" x14ac:dyDescent="0.25">
      <c r="A9" t="s">
        <v>90</v>
      </c>
      <c r="B9" s="18">
        <v>304000000</v>
      </c>
      <c r="C9" s="18">
        <v>601000000</v>
      </c>
      <c r="D9" s="18">
        <v>-288000000</v>
      </c>
      <c r="E9" s="18">
        <v>432000000</v>
      </c>
      <c r="F9" s="8" t="s">
        <v>91</v>
      </c>
    </row>
    <row r="10" spans="1:6" x14ac:dyDescent="0.25">
      <c r="A10" t="s">
        <v>92</v>
      </c>
      <c r="B10" s="18">
        <v>7896000000</v>
      </c>
      <c r="C10" s="18">
        <v>6395000000</v>
      </c>
      <c r="D10" s="18">
        <v>6599000000</v>
      </c>
      <c r="E10" s="18">
        <v>7635000000</v>
      </c>
      <c r="F10" s="8" t="s">
        <v>93</v>
      </c>
    </row>
    <row r="11" spans="1:6" x14ac:dyDescent="0.25">
      <c r="A11" t="s">
        <v>94</v>
      </c>
      <c r="B11" s="18">
        <v>2219000000</v>
      </c>
      <c r="C11" s="18">
        <v>1358000000</v>
      </c>
      <c r="D11" s="18">
        <v>1568000000</v>
      </c>
      <c r="E11" s="18">
        <v>1154000000</v>
      </c>
      <c r="F11" s="8" t="s">
        <v>95</v>
      </c>
    </row>
    <row r="12" spans="1:6" x14ac:dyDescent="0.25">
      <c r="A12" t="s">
        <v>32</v>
      </c>
      <c r="B12" s="34">
        <v>227100000</v>
      </c>
      <c r="C12" s="34">
        <v>234900000</v>
      </c>
      <c r="D12" s="34">
        <v>237200000</v>
      </c>
      <c r="E12" s="34">
        <v>237300000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