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<sst xmlns="http://schemas.openxmlformats.org/spreadsheetml/2006/main" count="119" uniqueCount="106">
  <si>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PPG Industries, Inc. (PPG)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</si>
  <si>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</si>
  <si>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</si>
  <si>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</si>
  <si>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</si>
  <si>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</si>
  <si>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</si>
  <si>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</si>
  <si>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</si>
  <si>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</si>
  <si>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</si>
  <si>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</si>
  <si>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</si>
  <si>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</si>
  <si>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</si>
  <si>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</si>
  <si>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</si>
  <si>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</si>
  <si>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</si>
  <si>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</si>
  <si>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</si>
  <si>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</si>
  <si>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</si>
  <si>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</si>
  <si>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9.0x interest cover. Book interest / average debt was lower, at 3.4%.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</si>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</sst>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0.059307436850393636</v>
      </c>
    </row>
    <row r="7" spans="1:2" x14ac:dyDescent="0.25">
      <c r="A7" t="s">
        <v>4</v>
      </c>
      <c r="B7" s="5">
        <v>0.13116382711250987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0.032026907552024544</v>
      </c>
    </row>
    <row r="10" spans="1:3" x14ac:dyDescent="0.25">
      <c r="A10" t="s">
        <v>7</v>
      </c>
      <c r="B10" s="5">
        <v>0.03935164663068663</v>
      </c>
      <c r="C10" s="6" t="s">
        <v>8</v>
      </c>
    </row>
    <row r="11" spans="1:2" x14ac:dyDescent="0.25">
      <c r="A11" t="s">
        <v>9</v>
      </c>
      <c r="B11" s="5">
        <v>0.08990357871406812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11.894315212458286</v>
      </c>
    </row>
    <row r="14" spans="1:3" x14ac:dyDescent="0.25">
      <c r="A14" t="s">
        <v>12</v>
      </c>
      <c r="B14" s="5">
        <v>0.1194765047269907</v>
      </c>
      <c r="C14" s="6" t="s">
        <v>13</v>
      </c>
    </row>
    <row r="15" spans="1:3" x14ac:dyDescent="0.25">
      <c r="A15" t="s">
        <v>14</v>
      </c>
      <c r="B15" s="5">
        <v>0.023283695527104215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1.0335</v>
      </c>
      <c r="C19" s="6" t="s">
        <v>21</v>
      </c>
    </row>
    <row r="20" spans="1:2" x14ac:dyDescent="0.25">
      <c r="A20" t="s">
        <v>22</v>
      </c>
      <c r="B20" s="9">
        <f>B17+B19*B18</f>
        <v>0.09265705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26401968128</v>
      </c>
    </row>
    <row r="23" spans="1:2" x14ac:dyDescent="0.25">
      <c r="A23" t="s">
        <v>26</v>
      </c>
      <c r="B23" s="10">
        <v>7896000000</v>
      </c>
    </row>
    <row r="24" spans="1:2" x14ac:dyDescent="0.25">
      <c r="A24" t="s">
        <v>27</v>
      </c>
      <c r="B24" s="9">
        <f>B22/(B22+B23)</f>
        <v>0.7697822806723672</v>
      </c>
    </row>
    <row r="25" spans="1:2" x14ac:dyDescent="0.25">
      <c r="A25" t="s">
        <v>28</v>
      </c>
      <c r="B25" s="9">
        <f>1-B24</f>
        <v>0.2302177193276328</v>
      </c>
    </row>
    <row r="26" spans="1:2" x14ac:dyDescent="0.25">
      <c r="A26" t="s">
        <v>29</v>
      </c>
      <c r="B26" s="11">
        <f>B24*B20+B25*B21*(1-B8)</f>
        <v>0.08095405885772543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15875000000</v>
      </c>
      <c r="C29" s="6" t="s">
        <v>32</v>
      </c>
    </row>
    <row r="30" spans="1:2" x14ac:dyDescent="0.25">
      <c r="A30" t="s">
        <v>33</v>
      </c>
      <c r="B30" s="10">
        <v>5677000000</v>
      </c>
    </row>
    <row r="31" spans="1:2" x14ac:dyDescent="0.25">
      <c r="A31" t="s">
        <v>34</v>
      </c>
      <c r="B31" s="12">
        <v>227100000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0.059307436850393636</v>
      </c>
      <c r="C5" s="5">
        <v>0.030098718083497067</v>
      </c>
      <c r="D5" s="5">
        <v>0.029461378323059933</v>
      </c>
      <c r="E5" s="5">
        <v>0.0288240385626228</v>
      </c>
      <c r="F5" s="5">
        <v>0.028186698802185668</v>
      </c>
      <c r="G5" s="5">
        <v>0.027549359041748534</v>
      </c>
      <c r="H5" s="5">
        <v>0.0269120192813114</v>
      </c>
      <c r="I5" s="5">
        <v>0.02627467952087427</v>
      </c>
      <c r="J5" s="5">
        <v>0.025637339760437135</v>
      </c>
      <c r="K5" s="5">
        <v>0.025</v>
      </c>
    </row>
    <row r="6" spans="1:11" x14ac:dyDescent="0.25">
      <c r="A6" t="s">
        <v>50</v>
      </c>
      <c r="B6" s="18">
        <f>Assumptions!B29*(1+B5)</f>
        <v>16816505559.999998</v>
      </c>
      <c r="C6" s="18">
        <f>B6*(1+C5)</f>
        <v>17322660820</v>
      </c>
      <c r="D6" s="18">
        <f>C6*(1+D5)</f>
        <v>17833010283.98007</v>
      </c>
      <c r="E6" s="18">
        <f>D6*(1+E5)</f>
        <v>18347029660.09316</v>
      </c>
      <c r="F6" s="18">
        <f>E6*(1+F5)</f>
        <v>18864171859.036972</v>
      </c>
      <c r="G6" s="18">
        <f>F6*(1+G5)</f>
        <v>19383867702.60683</v>
      </c>
      <c r="H6" s="18">
        <f>G6*(1+H5)</f>
        <v>19905526723.96578</v>
      </c>
      <c r="I6" s="18">
        <f>H6*(1+I5)</f>
        <v>20428538059.33218</v>
      </c>
      <c r="J6" s="18">
        <f>I6*(1+J5)</f>
        <v>20952271430.368298</v>
      </c>
      <c r="K6" s="18">
        <f>J6*(1+K5)</f>
        <v>21476078216.127502</v>
      </c>
    </row>
    <row r="7" spans="1:11" x14ac:dyDescent="0.25">
      <c r="A7" t="s">
        <v>4</v>
      </c>
      <c r="B7" s="9">
        <f>Assumptions!B7</f>
        <v>0.13116382711250987</v>
      </c>
      <c r="C7" s="9">
        <f>Assumptions!B7</f>
        <v>0.13116382711250987</v>
      </c>
      <c r="D7" s="9">
        <f>Assumptions!B7</f>
        <v>0.13116382711250987</v>
      </c>
      <c r="E7" s="9">
        <f>Assumptions!B7</f>
        <v>0.13116382711250987</v>
      </c>
      <c r="F7" s="9">
        <f>Assumptions!B7</f>
        <v>0.13116382711250987</v>
      </c>
      <c r="G7" s="9">
        <f>Assumptions!B7</f>
        <v>0.13116382711250987</v>
      </c>
      <c r="H7" s="9">
        <f>Assumptions!B7</f>
        <v>0.13116382711250987</v>
      </c>
      <c r="I7" s="9">
        <f>Assumptions!B7</f>
        <v>0.13116382711250987</v>
      </c>
      <c r="J7" s="9">
        <f>Assumptions!B7</f>
        <v>0.13116382711250987</v>
      </c>
      <c r="K7" s="9">
        <f>Assumptions!B7</f>
        <v>0.13116382711250987</v>
      </c>
    </row>
    <row r="8" spans="1:11" x14ac:dyDescent="0.25">
      <c r="A8" t="s">
        <v>51</v>
      </c>
      <c r="B8" s="18">
        <f>B6*B7</f>
        <v>2205717227.908401</v>
      </c>
      <c r="C8" s="18">
        <f>C6*C7</f>
        <v>2272106488.9231286</v>
      </c>
      <c r="D8" s="18">
        <f>D6*D7</f>
        <v>2339045877.783572</v>
      </c>
      <c r="E8" s="18">
        <f>E6*E7</f>
        <v>2406466626.3645496</v>
      </c>
      <c r="F8" s="18">
        <f>F6*F7</f>
        <v>2474296976.3393993</v>
      </c>
      <c r="G8" s="18">
        <f>G6*G7</f>
        <v>2542462272.116486</v>
      </c>
      <c r="H8" s="18">
        <f>H6*H7</f>
        <v>2610885065.805692</v>
      </c>
      <c r="I8" s="18">
        <f>I6*I7</f>
        <v>2679485234.175574</v>
      </c>
      <c r="J8" s="18">
        <f>J6*J7</f>
        <v>2748180107.5072074</v>
      </c>
      <c r="K8" s="18">
        <f>K6*K7</f>
        <v>2816884610.194887</v>
      </c>
    </row>
    <row r="9" spans="1:11" x14ac:dyDescent="0.25">
      <c r="A9" t="s">
        <v>52</v>
      </c>
      <c r="B9" s="18">
        <f>B8*(1-Assumptions!B8)</f>
        <v>1742516610.047637</v>
      </c>
      <c r="C9" s="18">
        <f>C8*(1-Assumptions!B8)</f>
        <v>1794964126.2492716</v>
      </c>
      <c r="D9" s="18">
        <f>D8*(1-Assumptions!B8)</f>
        <v>1847846243.449022</v>
      </c>
      <c r="E9" s="18">
        <f>E8*(1-Assumptions!B8)</f>
        <v>1901108634.8279943</v>
      </c>
      <c r="F9" s="18">
        <f>F8*(1-Assumptions!B8)</f>
        <v>1954694611.3081255</v>
      </c>
      <c r="G9" s="18">
        <f>G8*(1-Assumptions!B8)</f>
        <v>2008545194.9720242</v>
      </c>
      <c r="H9" s="18">
        <f>H8*(1-Assumptions!B8)</f>
        <v>2062599201.986497</v>
      </c>
      <c r="I9" s="18">
        <f>I8*(1-Assumptions!B8)</f>
        <v>2116793334.9987035</v>
      </c>
      <c r="J9" s="18">
        <f>J8*(1-Assumptions!B8)</f>
        <v>2171062284.930694</v>
      </c>
      <c r="K9" s="18">
        <f>K8*(1-Assumptions!B8)</f>
        <v>2225338842.053961</v>
      </c>
    </row>
    <row r="10" spans="1:11" x14ac:dyDescent="0.25">
      <c r="A10" t="s">
        <v>53</v>
      </c>
      <c r="B10" s="18">
        <f>B6*Assumptions!B9</f>
        <v>538580668.9182267</v>
      </c>
      <c r="C10" s="18">
        <f>C6*Assumptions!B9</f>
        <v>554791256.6372176</v>
      </c>
      <c r="D10" s="18">
        <f>D6*Assumptions!B9</f>
        <v>571136171.7393326</v>
      </c>
      <c r="E10" s="18">
        <f>E6*Assumptions!B9</f>
        <v>587598622.7780559</v>
      </c>
      <c r="F10" s="18">
        <f>F6*Assumptions!B9</f>
        <v>604161088.1748801</v>
      </c>
      <c r="G10" s="18">
        <f>G6*Assumptions!B9</f>
        <v>620805338.9120634</v>
      </c>
      <c r="H10" s="18">
        <f>H6*Assumptions!B9</f>
        <v>637512464.162806</v>
      </c>
      <c r="I10" s="18">
        <f>I6*Assumptions!B9</f>
        <v>654262899.8492466</v>
      </c>
      <c r="J10" s="18">
        <f>J6*Assumptions!B9</f>
        <v>671036460.1053306</v>
      </c>
      <c r="K10" s="18">
        <f>K6*Assumptions!B9</f>
        <v>687812371.6079637</v>
      </c>
    </row>
    <row r="11" spans="1:11" x14ac:dyDescent="0.25">
      <c r="A11" t="s">
        <v>54</v>
      </c>
      <c r="B11" s="18">
        <f>-B6*B19</f>
        <v>-661757184.3600969</v>
      </c>
      <c r="C11" s="18">
        <f>-C6*C19</f>
        <v>-695262559.4701873</v>
      </c>
      <c r="D11" s="18">
        <f>-D6*D19</f>
        <v>-729733586.4806107</v>
      </c>
      <c r="E11" s="18">
        <f>-E6*E19</f>
        <v>-765158269.323297</v>
      </c>
      <c r="F11" s="18">
        <f>-F6*F19</f>
        <v>-801521998.3364974</v>
      </c>
      <c r="G11" s="18">
        <f>-G6*G19</f>
        <v>-838807491.5184209</v>
      </c>
      <c r="H11" s="18">
        <f>-H6*H19</f>
        <v>-876994743.1563298</v>
      </c>
      <c r="I11" s="18">
        <f>-I6*I19</f>
        <v>-916060980.321234</v>
      </c>
      <c r="J11" s="18">
        <f>-J6*J19</f>
        <v>-955980627.6974262</v>
      </c>
      <c r="K11" s="18">
        <f>-K6*K19</f>
        <v>-996725281.1918398</v>
      </c>
    </row>
    <row r="12" spans="1:11" x14ac:dyDescent="0.25">
      <c r="A12" t="s">
        <v>55</v>
      </c>
      <c r="B12" s="18">
        <f>-(B6-Assumptions!B29)*Assumptions!B11</f>
        <v>-84644719.22319262</v>
      </c>
      <c r="C12" s="18">
        <f>-(C6-B6)*Assumptions!B11</f>
        <v>-45505169.25894979</v>
      </c>
      <c r="D12" s="18">
        <f>-(D6-C6)*Assumptions!B11</f>
        <v>-45882243.20661454</v>
      </c>
      <c r="E12" s="18">
        <f>-(E6-D6)*Assumptions!B11</f>
        <v>-46212181.44093942</v>
      </c>
      <c r="F12" s="18">
        <f>-(F6-E6)*Assumptions!B11</f>
        <v>-46492934.3891114</v>
      </c>
      <c r="G12" s="18">
        <f>-(G6-F6)*Assumptions!B11</f>
        <v>-46722516.17975681</v>
      </c>
      <c r="H12" s="18">
        <f>-(H6-G6)*Assumptions!B11</f>
        <v>-46899012.88864791</v>
      </c>
      <c r="I12" s="18">
        <f>-(I6-H6)*Assumptions!B11</f>
        <v>-47020590.75746317</v>
      </c>
      <c r="J12" s="18">
        <f>-(J6-I6)*Assumptions!B11</f>
        <v>-47085504.34812984</v>
      </c>
      <c r="K12" s="18">
        <f>-(K6-J6)*Assumptions!B11</f>
        <v>-47092104.59446569</v>
      </c>
    </row>
    <row r="13" spans="1:11" x14ac:dyDescent="0.25">
      <c r="A13" s="19" t="s">
        <v>56</v>
      </c>
      <c r="B13" s="20">
        <f>B9+B10+B11+B12</f>
        <v>1534695375.382574</v>
      </c>
      <c r="C13" s="20">
        <f>C9+C10+C11+C12</f>
        <v>1608987654.1573524</v>
      </c>
      <c r="D13" s="20">
        <f>D9+D10+D11+D12</f>
        <v>1643366585.5011292</v>
      </c>
      <c r="E13" s="20">
        <f>E9+E10+E11+E12</f>
        <v>1677336806.841814</v>
      </c>
      <c r="F13" s="20">
        <f>F9+F10+F11+F12</f>
        <v>1710840766.7573967</v>
      </c>
      <c r="G13" s="20">
        <f>G9+G10+G11+G12</f>
        <v>1743820526.1859097</v>
      </c>
      <c r="H13" s="20">
        <f>H9+H10+H11+H12</f>
        <v>1776217910.1043255</v>
      </c>
      <c r="I13" s="20">
        <f>I9+I10+I11+I12</f>
        <v>1807974663.7692528</v>
      </c>
      <c r="J13" s="20">
        <f>J9+J10+J11+J12</f>
        <v>1839032612.9904685</v>
      </c>
      <c r="K13" s="20">
        <f>K9+K10+K11+K12</f>
        <v>1869333827.875619</v>
      </c>
    </row>
    <row r="14" spans="1:11" x14ac:dyDescent="0.25">
      <c r="A14" t="s">
        <v>57</v>
      </c>
      <c r="B14" s="21">
        <f>1/(1+Assumptions!$B$26)^(1-0.5*Assumptions!$B$32)</f>
        <v>0.9618257098670085</v>
      </c>
      <c r="C14" s="21">
        <f>1/(1+Assumptions!$B$26)^(2-0.5*Assumptions!$B$32)</f>
        <v>0.8897933283893645</v>
      </c>
      <c r="D14" s="21">
        <f>1/(1+Assumptions!$B$26)^(3-0.5*Assumptions!$B$32)</f>
        <v>0.8231555458791969</v>
      </c>
      <c r="E14" s="21">
        <f>1/(1+Assumptions!$B$26)^(4-0.5*Assumptions!$B$32)</f>
        <v>0.761508353786144</v>
      </c>
      <c r="F14" s="21">
        <f>1/(1+Assumptions!$B$26)^(5-0.5*Assumptions!$B$32)</f>
        <v>0.7044780002869422</v>
      </c>
      <c r="G14" s="21">
        <f>1/(1+Assumptions!$B$26)^(6-0.5*Assumptions!$B$32)</f>
        <v>0.6517187243196847</v>
      </c>
      <c r="H14" s="21">
        <f>1/(1+Assumptions!$B$26)^(7-0.5*Assumptions!$B$32)</f>
        <v>0.6029106593192076</v>
      </c>
      <c r="I14" s="21">
        <f>1/(1+Assumptions!$B$26)^(8-0.5*Assumptions!$B$32)</f>
        <v>0.5577578939444664</v>
      </c>
      <c r="J14" s="21">
        <f>1/(1+Assumptions!$B$26)^(9-0.5*Assumptions!$B$32)</f>
        <v>0.5159866780405681</v>
      </c>
      <c r="K14" s="21">
        <f>1/(1+Assumptions!$B$26)^(10-0.5*Assumptions!$B$32)</f>
        <v>0.4773437629586458</v>
      </c>
    </row>
    <row r="15" spans="1:11" x14ac:dyDescent="0.25">
      <c r="A15" s="19" t="s">
        <v>58</v>
      </c>
      <c r="B15" s="20">
        <f>B13*B14</f>
        <v>1476109468.8569596</v>
      </c>
      <c r="C15" s="20">
        <f>C13*C14</f>
        <v>1431666480.1300664</v>
      </c>
      <c r="D15" s="20">
        <f>D13*D14</f>
        <v>1352746318.767814</v>
      </c>
      <c r="E15" s="20">
        <f>E13*E14</f>
        <v>1277305990.5230172</v>
      </c>
      <c r="F15" s="20">
        <f>F13*F14</f>
        <v>1205249682.1746297</v>
      </c>
      <c r="G15" s="20">
        <f>G13*G14</f>
        <v>1136480488.7683625</v>
      </c>
      <c r="H15" s="20">
        <f>H13*H14</f>
        <v>1070900711.275584</v>
      </c>
      <c r="I15" s="20">
        <f>I13*I14</f>
        <v>1008412140.7688932</v>
      </c>
      <c r="J15" s="20">
        <f>J13*J14</f>
        <v>948916328.7852175</v>
      </c>
      <c r="K15" s="20">
        <f>K13*K14</f>
        <v>892314843.6240374</v>
      </c>
    </row>
    <row r="17" spans="1:2" x14ac:dyDescent="0.25">
      <c r="A17" s="22" t="s">
        <v>59</v>
      </c>
      <c r="B17" s="23">
        <f>SUM(B15:K15)</f>
        <v>11800102453.674578</v>
      </c>
    </row>
    <row r="19" spans="1:11" x14ac:dyDescent="0.25">
      <c r="A19" t="s">
        <v>7</v>
      </c>
      <c r="B19" s="9">
        <f>Assumptions!$B$10+($B$20-Assumptions!$B$10)*0/9</f>
        <v>0.03935164663068663</v>
      </c>
      <c r="C19" s="9">
        <f>Assumptions!$B$10+($B$20-Assumptions!$B$10)*1/9</f>
        <v>0.04013601413170124</v>
      </c>
      <c r="D19" s="9">
        <f>Assumptions!$B$10+($B$20-Assumptions!$B$10)*2/9</f>
        <v>0.040920381632715844</v>
      </c>
      <c r="E19" s="9">
        <f>Assumptions!$B$10+($B$20-Assumptions!$B$10)*3/9</f>
        <v>0.04170474913373045</v>
      </c>
      <c r="F19" s="9">
        <f>Assumptions!$B$10+($B$20-Assumptions!$B$10)*4/9</f>
        <v>0.042489116634745056</v>
      </c>
      <c r="G19" s="9">
        <f>Assumptions!$B$10+($B$20-Assumptions!$B$10)*5/9</f>
        <v>0.04327348413575967</v>
      </c>
      <c r="H19" s="9">
        <f>Assumptions!$B$10+($B$20-Assumptions!$B$10)*6/9</f>
        <v>0.044057851636774274</v>
      </c>
      <c r="I19" s="9">
        <f>Assumptions!$B$10+($B$20-Assumptions!$B$10)*7/9</f>
        <v>0.04484221913778888</v>
      </c>
      <c r="J19" s="9">
        <f>Assumptions!$B$10+($B$20-Assumptions!$B$10)*8/9</f>
        <v>0.045626586638803486</v>
      </c>
      <c r="K19" s="9">
        <f>Assumptions!$B$10+($B$20-Assumptions!$B$10)*9/9</f>
        <v>0.04641095413981809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0.04641095413981809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1869333827.875619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2373677067.2467875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0.2092461614702083</v>
      </c>
    </row>
    <row r="7" spans="1:2" x14ac:dyDescent="0.25">
      <c r="A7" t="s">
        <v>66</v>
      </c>
      <c r="B7" s="18">
        <f>-MAX(B5,0)*B6</f>
        <v>-496682814.8912518</v>
      </c>
    </row>
    <row r="8" spans="1:2" x14ac:dyDescent="0.25">
      <c r="A8" t="s">
        <v>67</v>
      </c>
      <c r="B8" s="18">
        <f>IF(OR(Assumptions!$B$33=0,Assumptions!B12&lt;=0),B5,MAX(B5+B7,0))</f>
        <v>1876994252.3555357</v>
      </c>
    </row>
    <row r="9" spans="1:2" x14ac:dyDescent="0.25">
      <c r="A9" t="s">
        <v>68</v>
      </c>
      <c r="B9" s="18">
        <f>B8*(1+Assumptions!B12)/(Assumptions!B26-Assumptions!B12)</f>
        <v>34383906153.3745</v>
      </c>
    </row>
    <row r="10" spans="1:2" x14ac:dyDescent="0.25">
      <c r="A10" t="s">
        <v>69</v>
      </c>
      <c r="B10" s="18">
        <f>B9/(1+Assumptions!B26)^(10-0.5*Assumptions!B32)</f>
        <v>16412943148.468718</v>
      </c>
    </row>
    <row r="11" spans="1:2" x14ac:dyDescent="0.25">
      <c r="A11" t="s">
        <v>70</v>
      </c>
      <c r="B11" s="18">
        <f>Forecast!B17+B10</f>
        <v>28213045602.143295</v>
      </c>
    </row>
    <row r="12" spans="1:2" x14ac:dyDescent="0.25">
      <c r="A12" t="s">
        <v>71</v>
      </c>
      <c r="B12" s="18">
        <f>-Assumptions!B30</f>
        <v>-5677000000</v>
      </c>
    </row>
    <row r="13" spans="1:2" x14ac:dyDescent="0.25">
      <c r="A13" t="s">
        <v>72</v>
      </c>
      <c r="B13" s="18">
        <f>B11+B12</f>
        <v>22536045602.143295</v>
      </c>
    </row>
    <row r="14" spans="1:2" x14ac:dyDescent="0.25">
      <c r="A14" s="19" t="s">
        <v>73</v>
      </c>
      <c r="B14" s="24">
        <f>B13/Assumptions!B31</f>
        <v>99.23401850349316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3504696981.8028507</v>
      </c>
    </row>
    <row r="18" spans="1:2" x14ac:dyDescent="0.25">
      <c r="A18" t="s">
        <v>68</v>
      </c>
      <c r="B18" s="18">
        <f>B17*Assumptions!B13</f>
        <v>41685970625.71429</v>
      </c>
    </row>
    <row r="19" spans="1:2" x14ac:dyDescent="0.25">
      <c r="A19" t="s">
        <v>69</v>
      </c>
      <c r="B19" s="18">
        <f>B18/(1+Assumptions!B26)^(10-0.5*Assumptions!B32)</f>
        <v>19898538081.06203</v>
      </c>
    </row>
    <row r="20" spans="1:2" x14ac:dyDescent="0.25">
      <c r="A20" t="s">
        <v>70</v>
      </c>
      <c r="B20" s="18">
        <f>Forecast!B17+B19</f>
        <v>31698640534.73661</v>
      </c>
    </row>
    <row r="21" spans="1:2" x14ac:dyDescent="0.25">
      <c r="A21" t="s">
        <v>71</v>
      </c>
      <c r="B21" s="18">
        <f>-Assumptions!B30</f>
        <v>-5677000000</v>
      </c>
    </row>
    <row r="22" spans="1:2" x14ac:dyDescent="0.25">
      <c r="A22" t="s">
        <v>72</v>
      </c>
      <c r="B22" s="18">
        <f>B20+B21</f>
        <v>26021640534.73661</v>
      </c>
    </row>
    <row r="23" spans="1:2" x14ac:dyDescent="0.25">
      <c r="A23" s="19" t="s">
        <v>73</v>
      </c>
      <c r="B23" s="25">
        <f>B22/Assumptions!B31</f>
        <v>114.58230090152625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119.52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99.23401850349316</v>
      </c>
    </row>
    <row r="29" spans="1:2" x14ac:dyDescent="0.25">
      <c r="A29" s="19" t="s">
        <v>81</v>
      </c>
      <c r="B29" s="11">
        <f>B28/B26-1</f>
        <v>-0.16972876084761412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0.060954</v>
      </c>
      <c r="B5" s="31">
        <v>149.43507638548826</v>
      </c>
      <c r="C5" s="31">
        <v>156.5437790505899</v>
      </c>
      <c r="D5" s="31">
        <v>165.94033055775262</v>
      </c>
      <c r="E5" s="31">
        <v>178.73339966160947</v>
      </c>
      <c r="F5" s="31">
        <v>196.88598874909175</v>
      </c>
    </row>
    <row r="6" spans="1:6" x14ac:dyDescent="0.25">
      <c r="A6" s="30">
        <v>0.070954</v>
      </c>
      <c r="B6" s="31">
        <v>118.23155835749395</v>
      </c>
      <c r="C6" s="31">
        <v>121.3328046835749</v>
      </c>
      <c r="D6" s="31">
        <v>125.33863837671935</v>
      </c>
      <c r="E6" s="31">
        <v>130.58037775762745</v>
      </c>
      <c r="F6" s="31">
        <v>137.57364237673738</v>
      </c>
    </row>
    <row r="7" spans="1:6" x14ac:dyDescent="0.25">
      <c r="A7" s="30">
        <v>0.080954</v>
      </c>
      <c r="B7" s="31">
        <v>96.51937657229482</v>
      </c>
      <c r="C7" s="31">
        <v>97.68350121203679</v>
      </c>
      <c r="D7" s="32">
        <v>99.2341447324459</v>
      </c>
      <c r="E7" s="31">
        <v>101.28509178654262</v>
      </c>
      <c r="F7" s="31">
        <v>103.99964813672669</v>
      </c>
    </row>
    <row r="8" spans="1:6" x14ac:dyDescent="0.25">
      <c r="A8" s="30">
        <v>0.090954</v>
      </c>
      <c r="B8" s="31">
        <v>80.54762998230063</v>
      </c>
      <c r="C8" s="31">
        <v>80.70679792073311</v>
      </c>
      <c r="D8" s="31">
        <v>81.0334432748997</v>
      </c>
      <c r="E8" s="31">
        <v>81.5687800953305</v>
      </c>
      <c r="F8" s="31">
        <v>82.36875383711298</v>
      </c>
    </row>
    <row r="9" spans="1:6" x14ac:dyDescent="0.25">
      <c r="A9" s="30">
        <v>0.100954</v>
      </c>
      <c r="B9" s="31">
        <v>68.31111837301593</v>
      </c>
      <c r="C9" s="31">
        <v>67.92940871918337</v>
      </c>
      <c r="D9" s="31">
        <v>67.61538503867632</v>
      </c>
      <c r="E9" s="31">
        <v>67.3833564557144</v>
      </c>
      <c r="F9" s="31">
        <v>67.25197121700256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15875000000</v>
      </c>
      <c r="C5" s="18">
        <v>15845000000</v>
      </c>
      <c r="D5" s="18">
        <v>16242000000</v>
      </c>
      <c r="E5" s="18">
        <v>15614000000</v>
      </c>
      <c r="F5" s="6" t="s">
        <v>91</v>
      </c>
    </row>
    <row r="6" spans="1:6" x14ac:dyDescent="0.25">
      <c r="A6" t="s">
        <v>51</v>
      </c>
      <c r="B6" s="18">
        <v>2169000000</v>
      </c>
      <c r="C6" s="18">
        <v>2287000000</v>
      </c>
      <c r="D6" s="18">
        <v>2225000000</v>
      </c>
      <c r="E6" s="18">
        <v>1666000000</v>
      </c>
      <c r="F6" s="6" t="s">
        <v>92</v>
      </c>
    </row>
    <row r="7" spans="1:6" x14ac:dyDescent="0.25">
      <c r="A7" t="s">
        <v>93</v>
      </c>
      <c r="B7" s="18">
        <v>528000000</v>
      </c>
      <c r="C7" s="18">
        <v>492000000</v>
      </c>
      <c r="D7" s="18">
        <v>514000000</v>
      </c>
      <c r="E7" s="18">
        <v>502000000</v>
      </c>
      <c r="F7" s="6" t="s">
        <v>94</v>
      </c>
    </row>
    <row r="8" spans="1:6" x14ac:dyDescent="0.25">
      <c r="A8" t="s">
        <v>95</v>
      </c>
      <c r="B8" s="18">
        <v>778000000</v>
      </c>
      <c r="C8" s="18">
        <v>721000000</v>
      </c>
      <c r="D8" s="18">
        <v>516000000</v>
      </c>
      <c r="E8" s="18">
        <v>486000000</v>
      </c>
      <c r="F8" s="6" t="s">
        <v>96</v>
      </c>
    </row>
    <row r="9" spans="1:6" x14ac:dyDescent="0.25">
      <c r="A9" t="s">
        <v>97</v>
      </c>
      <c r="B9" s="18">
        <v>304000000</v>
      </c>
      <c r="C9" s="18">
        <v>601000000</v>
      </c>
      <c r="D9" s="18">
        <v>-288000000</v>
      </c>
      <c r="E9" s="18">
        <v>432000000</v>
      </c>
      <c r="F9" s="6" t="s">
        <v>98</v>
      </c>
    </row>
    <row r="10" spans="1:6" x14ac:dyDescent="0.25">
      <c r="A10" t="s">
        <v>99</v>
      </c>
      <c r="B10" s="18">
        <v>7896000000</v>
      </c>
      <c r="C10" s="18">
        <v>6395000000</v>
      </c>
      <c r="D10" s="18">
        <v>6599000000</v>
      </c>
      <c r="E10" s="18">
        <v>7635000000</v>
      </c>
      <c r="F10" s="6" t="s">
        <v>100</v>
      </c>
    </row>
    <row r="11" spans="1:6" x14ac:dyDescent="0.25">
      <c r="A11" t="s">
        <v>101</v>
      </c>
      <c r="B11" s="18">
        <v>2219000000</v>
      </c>
      <c r="C11" s="18">
        <v>1358000000</v>
      </c>
      <c r="D11" s="18">
        <v>1568000000</v>
      </c>
      <c r="E11" s="18">
        <v>1154000000</v>
      </c>
      <c r="F11" s="6" t="s">
        <v>102</v>
      </c>
    </row>
    <row r="12" spans="1:6" x14ac:dyDescent="0.25">
      <c r="A12" t="s">
        <v>34</v>
      </c>
      <c r="B12" s="34">
        <v>227100000</v>
      </c>
      <c r="C12" s="34">
        <v>234900000</v>
      </c>
      <c r="D12" s="34">
        <v>237200000</v>
      </c>
      <c r="E12" s="34">
        <v>237300000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