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<sst xmlns="http://schemas.openxmlformats.org/spreadsheetml/2006/main" count="121" uniqueCount="108">
  <si>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PPL Corporation (PPL)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</si>
  <si>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</si>
  <si>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</si>
  <si>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</si>
  <si>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</si>
  <si>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</si>
  <si>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</si>
  <si>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</si>
  <si>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</si>
  <si>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</si>
  <si>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</si>
  <si>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</si>
  <si>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</si>
  <si>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</si>
  <si>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</si>
  <si>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</si>
  <si>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</si>
  <si>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</si>
  <si>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</si>
  <si>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</si>
  <si>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</si>
  <si>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</si>
  <si>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</si>
  <si>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</si>
  <si>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+ 111bp, the spread for a BBB rating at 2.6x interest cover. Book interest / average debt was lower, at 4.5%.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</si>
  <si>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</si>
  <si>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</si>
  <si>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</si>
  <si>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</si>
  <si>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</si>
  <si>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</si>
  <si>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</si>
  <si>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</si>
  <si>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</si>
  <si>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</si>
  <si>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</si>
  <si>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</si>
  <si>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</si>
  <si>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</si>
  <si>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</si>
  <si>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</si>
  <si>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</si>
  <si>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</si>
  <si>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</si>
  <si>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</si>
  <si>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</si>
  <si>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</si>
  <si>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</si>
  <si>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</si>
  <si>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</si>
  <si>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</si>
  <si>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</si>
  <si>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</si>
  <si>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</si>
  <si>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</si>
  <si>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</si>
  <si>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</si>
  <si>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</si>
  <si>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</si>
  <si>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</si>
  <si>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</si>
  <si>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</si>
  <si>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</si>
  <si>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</si>
  <si>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</si>
  <si>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</si>
  <si>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</si>
  <si>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</si>
  <si>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</si>
  <si>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</si>
  <si>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</si>
  <si>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</si>
  <si>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</si>
  <si>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</si>
  <si>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</si>
  <si>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</si>
  <si>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</si>
  <si>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</si>
  <si>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</si>
  <si>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</si>
  <si>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</si>
  <si>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</si>
  <si>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</si>
  <si>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</si>
  <si>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</si>
  <si>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</si>
  <si>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</si>
  <si>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</si>
  <si>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</si>
  <si>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</si>
  <si>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</si>
  <si>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</si>
  <si>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</si>
  <si>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</si>
  <si>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</si>
  <si>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</si>
  <si>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</si>
  <si>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</si>
  <si>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</si>
  <si>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</si>
  <si>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</si>
  <si>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</si>
  <si>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</si>
  <si>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</si>
  <si>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</si>
  <si>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</si>
  <si>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33.4% of revenue against depreciation of 15.8%.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</si>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</sst>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0.06601849148418482</v>
      </c>
    </row>
    <row r="7" spans="1:2" x14ac:dyDescent="0.25">
      <c r="A7" t="s">
        <v>4</v>
      </c>
      <c r="B7" s="5">
        <v>0.20276598915501162</v>
      </c>
    </row>
    <row r="8" spans="1:2" x14ac:dyDescent="0.25">
      <c r="A8" t="s">
        <v>5</v>
      </c>
      <c r="B8" s="5">
        <v>0.20171763720150818</v>
      </c>
    </row>
    <row r="9" spans="1:2" x14ac:dyDescent="0.25">
      <c r="A9" t="s">
        <v>6</v>
      </c>
      <c r="B9" s="5">
        <v>0.1584035281907848</v>
      </c>
    </row>
    <row r="10" spans="1:3" x14ac:dyDescent="0.25">
      <c r="A10" t="s">
        <v>7</v>
      </c>
      <c r="B10" s="5">
        <v>0.3343579085453796</v>
      </c>
      <c r="C10" s="6" t="s">
        <v>8</v>
      </c>
    </row>
    <row r="11" spans="1:2" x14ac:dyDescent="0.25">
      <c r="A11" t="s">
        <v>9</v>
      </c>
      <c r="B11" s="5">
        <v>0.025040167961570842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12.72418180874471</v>
      </c>
    </row>
    <row r="14" spans="1:3" x14ac:dyDescent="0.25">
      <c r="A14" t="s">
        <v>12</v>
      </c>
      <c r="B14" s="5">
        <v>0.06612657060322456</v>
      </c>
      <c r="C14" s="6" t="s">
        <v>13</v>
      </c>
    </row>
    <row r="15" spans="1:3" x14ac:dyDescent="0.25">
      <c r="A15" t="s">
        <v>14</v>
      </c>
      <c r="B15" s="5">
        <v>0.14914224851119565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0.71659</v>
      </c>
      <c r="C19" s="6" t="s">
        <v>21</v>
      </c>
    </row>
    <row r="20" spans="1:2" x14ac:dyDescent="0.25">
      <c r="A20" t="s">
        <v>22</v>
      </c>
      <c r="B20" s="9">
        <f>B17+B19*B18</f>
        <v>0.079251757</v>
      </c>
    </row>
    <row r="21" spans="1:3" x14ac:dyDescent="0.25">
      <c r="A21" t="s">
        <v>23</v>
      </c>
      <c r="B21" s="5">
        <v>0.06004</v>
      </c>
      <c r="C21" s="6" t="s">
        <v>24</v>
      </c>
    </row>
    <row r="22" spans="1:2" x14ac:dyDescent="0.25">
      <c r="A22" t="s">
        <v>25</v>
      </c>
      <c r="B22" s="10">
        <v>26828224512</v>
      </c>
    </row>
    <row r="23" spans="1:2" x14ac:dyDescent="0.25">
      <c r="A23" t="s">
        <v>26</v>
      </c>
      <c r="B23" s="10">
        <v>19350000000</v>
      </c>
    </row>
    <row r="24" spans="1:2" x14ac:dyDescent="0.25">
      <c r="A24" t="s">
        <v>27</v>
      </c>
      <c r="B24" s="9">
        <f>B22/(B22+B23)</f>
        <v>0.5809713300048672</v>
      </c>
    </row>
    <row r="25" spans="1:2" x14ac:dyDescent="0.25">
      <c r="A25" t="s">
        <v>28</v>
      </c>
      <c r="B25" s="9">
        <f>1-B24</f>
        <v>0.4190286699951328</v>
      </c>
    </row>
    <row r="26" spans="1:2" x14ac:dyDescent="0.25">
      <c r="A26" t="s">
        <v>29</v>
      </c>
      <c r="B26" s="11">
        <f>B24*B20+B25*B21*(1-B8)</f>
        <v>0.06612657060322456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9042000000</v>
      </c>
      <c r="C29" s="6" t="s">
        <v>32</v>
      </c>
    </row>
    <row r="30" spans="1:2" x14ac:dyDescent="0.25">
      <c r="A30" t="s">
        <v>33</v>
      </c>
      <c r="B30" s="10">
        <v>18279000000</v>
      </c>
    </row>
    <row r="31" spans="1:2" x14ac:dyDescent="0.25">
      <c r="A31" t="s">
        <v>34</v>
      </c>
      <c r="B31" s="12">
        <v>743348000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0.06601849148418482</v>
      </c>
      <c r="C5" s="5">
        <v>0.059289685113897095</v>
      </c>
      <c r="D5" s="5">
        <v>0.05500347447465996</v>
      </c>
      <c r="E5" s="5">
        <v>0.05071726383542282</v>
      </c>
      <c r="F5" s="5">
        <v>0.046431053196185686</v>
      </c>
      <c r="G5" s="5">
        <v>0.042144842556948545</v>
      </c>
      <c r="H5" s="5">
        <v>0.03785863191771141</v>
      </c>
      <c r="I5" s="5">
        <v>0.033572421278474276</v>
      </c>
      <c r="J5" s="5">
        <v>0.02928621063923714</v>
      </c>
      <c r="K5" s="5">
        <v>0.025</v>
      </c>
    </row>
    <row r="6" spans="1:11" x14ac:dyDescent="0.25">
      <c r="A6" t="s">
        <v>50</v>
      </c>
      <c r="B6" s="18">
        <f>Assumptions!B29*(1+B5)</f>
        <v>9638939200</v>
      </c>
      <c r="C6" s="18">
        <f>B6*(1+C5)</f>
        <v>10210428870</v>
      </c>
      <c r="D6" s="18">
        <f>C6*(1+D5)</f>
        <v>10772037933.726376</v>
      </c>
      <c r="E6" s="18">
        <f>D6*(1+E5)</f>
        <v>11318366223.656359</v>
      </c>
      <c r="F6" s="18">
        <f>E6*(1+F5)</f>
        <v>11843889887.88086</v>
      </c>
      <c r="G6" s="18">
        <f>F6*(1+G5)</f>
        <v>12343048762.467434</v>
      </c>
      <c r="H6" s="18">
        <f>G6*(1+H5)</f>
        <v>12810339702.308052</v>
      </c>
      <c r="I6" s="18">
        <f>H6*(1+I5)</f>
        <v>13240413823.514303</v>
      </c>
      <c r="J6" s="18">
        <f>I6*(1+J5)</f>
        <v>13628175371.700409</v>
      </c>
      <c r="K6" s="18">
        <f>J6*(1+K5)</f>
        <v>13968879755.992918</v>
      </c>
    </row>
    <row r="7" spans="1:11" x14ac:dyDescent="0.25">
      <c r="A7" t="s">
        <v>4</v>
      </c>
      <c r="B7" s="9">
        <f>Assumptions!B7</f>
        <v>0.20276598915501162</v>
      </c>
      <c r="C7" s="9">
        <f>Assumptions!B7</f>
        <v>0.20276598915501162</v>
      </c>
      <c r="D7" s="9">
        <f>Assumptions!B7</f>
        <v>0.20276598915501162</v>
      </c>
      <c r="E7" s="9">
        <f>Assumptions!B7</f>
        <v>0.20276598915501162</v>
      </c>
      <c r="F7" s="9">
        <f>Assumptions!B7</f>
        <v>0.20276598915501162</v>
      </c>
      <c r="G7" s="9">
        <f>Assumptions!B7</f>
        <v>0.20276598915501162</v>
      </c>
      <c r="H7" s="9">
        <f>Assumptions!B7</f>
        <v>0.20276598915501162</v>
      </c>
      <c r="I7" s="9">
        <f>Assumptions!B7</f>
        <v>0.20276598915501162</v>
      </c>
      <c r="J7" s="9">
        <f>Assumptions!B7</f>
        <v>0.20276598915501162</v>
      </c>
      <c r="K7" s="9">
        <f>Assumptions!B7</f>
        <v>0.20276598915501162</v>
      </c>
    </row>
    <row r="8" spans="1:11" x14ac:dyDescent="0.25">
      <c r="A8" t="s">
        <v>51</v>
      </c>
      <c r="B8" s="18">
        <f>B6*B7</f>
        <v>1954449041.2930164</v>
      </c>
      <c r="C8" s="18">
        <f>C6*C7</f>
        <v>2070327709.5224376</v>
      </c>
      <c r="D8" s="18">
        <f>D6*D7</f>
        <v>2184202926.8473363</v>
      </c>
      <c r="E8" s="18">
        <f>E6*E7</f>
        <v>2294979722.958355</v>
      </c>
      <c r="F8" s="18">
        <f>F6*F7</f>
        <v>2401538048.559202</v>
      </c>
      <c r="G8" s="18">
        <f>G6*G7</f>
        <v>2502750491.5102515</v>
      </c>
      <c r="H8" s="18">
        <f>H6*H7</f>
        <v>2597501201.1502094</v>
      </c>
      <c r="I8" s="18">
        <f>I6*I7</f>
        <v>2684705605.7465672</v>
      </c>
      <c r="J8" s="18">
        <f>J6*J7</f>
        <v>2763330459.6208014</v>
      </c>
      <c r="K8" s="18">
        <f>K6*K7</f>
        <v>2832413721.1113214</v>
      </c>
    </row>
    <row r="9" spans="1:11" x14ac:dyDescent="0.25">
      <c r="A9" t="s">
        <v>52</v>
      </c>
      <c r="B9" s="18">
        <f>B8*(1-Assumptions!B8)</f>
        <v>1560202198.6526363</v>
      </c>
      <c r="C9" s="18">
        <f>C8*(1-Assumptions!B8)</f>
        <v>1652706095.7247612</v>
      </c>
      <c r="D9" s="18">
        <f>D8*(1-Assumptions!B8)</f>
        <v>1743610673.275073</v>
      </c>
      <c r="E9" s="18">
        <f>E8*(1-Assumptions!B8)</f>
        <v>1832041835.817824</v>
      </c>
      <c r="F9" s="18">
        <f>F8*(1-Assumptions!B8)</f>
        <v>1917105467.7543192</v>
      </c>
      <c r="G9" s="18">
        <f>G8*(1-Assumptions!B8)</f>
        <v>1997901575.8578904</v>
      </c>
      <c r="H9" s="18">
        <f>H8*(1-Assumptions!B8)</f>
        <v>2073539396.2261097</v>
      </c>
      <c r="I9" s="18">
        <f>I8*(1-Assumptions!B8)</f>
        <v>2143153134.3737261</v>
      </c>
      <c r="J9" s="18">
        <f>J8*(1-Assumptions!B8)</f>
        <v>2205917968.499136</v>
      </c>
      <c r="K9" s="18">
        <f>K8*(1-Assumptions!B8)</f>
        <v>2261065917.711614</v>
      </c>
    </row>
    <row r="10" spans="1:11" x14ac:dyDescent="0.25">
      <c r="A10" t="s">
        <v>53</v>
      </c>
      <c r="B10" s="18">
        <f>B6*Assumptions!B9</f>
        <v>1526841977.2964606</v>
      </c>
      <c r="C10" s="18">
        <f>C6*Assumptions!B9</f>
        <v>1617367957.349048</v>
      </c>
      <c r="D10" s="18">
        <f>D6*Assumptions!B9</f>
        <v>1706328814.507229</v>
      </c>
      <c r="E10" s="18">
        <f>E6*Assumptions!B9</f>
        <v>1792869143.1825764</v>
      </c>
      <c r="F10" s="18">
        <f>F6*Assumptions!B9</f>
        <v>1876113945.7434866</v>
      </c>
      <c r="G10" s="18">
        <f>G6*Assumptions!B9</f>
        <v>1955182472.6057415</v>
      </c>
      <c r="H10" s="18">
        <f>H6*Assumptions!B9</f>
        <v>2029203006.1680832</v>
      </c>
      <c r="I10" s="18">
        <f>I6*Assumptions!B9</f>
        <v>2097328264.3507047</v>
      </c>
      <c r="J10" s="18">
        <f>J6*Assumptions!B9</f>
        <v>2158751061.6801047</v>
      </c>
      <c r="K10" s="18">
        <f>K6*Assumptions!B9</f>
        <v>2212719838.2221074</v>
      </c>
    </row>
    <row r="11" spans="1:11" x14ac:dyDescent="0.25">
      <c r="A11" t="s">
        <v>54</v>
      </c>
      <c r="B11" s="18">
        <f>-B6*B19</f>
        <v>-3222855551.5080743</v>
      </c>
      <c r="C11" s="18">
        <f>-C6*C19</f>
        <v>-3276408114.4198046</v>
      </c>
      <c r="D11" s="18">
        <f>-D6*D19</f>
        <v>-3311527814.727483</v>
      </c>
      <c r="E11" s="18">
        <f>-E6*E19</f>
        <v>-3327026537.561833</v>
      </c>
      <c r="F11" s="18">
        <f>-F6*F19</f>
        <v>-3321972427.6321125</v>
      </c>
      <c r="G11" s="18">
        <f>-G6*G19</f>
        <v>-3295721548.393429</v>
      </c>
      <c r="H11" s="18">
        <f>-H6*H19</f>
        <v>-3247943990.752878</v>
      </c>
      <c r="I11" s="18">
        <f>-I6*I19</f>
        <v>-3178643378.098281</v>
      </c>
      <c r="J11" s="18">
        <f>-J6*J19</f>
        <v>-3088168880.9084096</v>
      </c>
      <c r="K11" s="18">
        <f>-K6*K19</f>
        <v>-2977219063.3055487</v>
      </c>
    </row>
    <row r="12" spans="1:11" x14ac:dyDescent="0.25">
      <c r="A12" t="s">
        <v>55</v>
      </c>
      <c r="B12" s="18">
        <f>-(B6-Assumptions!B29)*Assumptions!B11</f>
        <v>-14947457.830845729</v>
      </c>
      <c r="C12" s="18">
        <f>-(C6-B6)*Assumptions!B11</f>
        <v>-14310197.325102692</v>
      </c>
      <c r="D12" s="18">
        <f>-(D6-C6)*Assumptions!B11</f>
        <v>-14062785.284448987</v>
      </c>
      <c r="E12" s="18">
        <f>-(E6-D6)*Assumptions!B11</f>
        <v>-13680152.14200455</v>
      </c>
      <c r="F12" s="18">
        <f>-(F6-E6)*Assumptions!B11</f>
        <v>-13159200.819961654</v>
      </c>
      <c r="G12" s="18">
        <f>-(G6-F6)*Assumptions!B11</f>
        <v>-12499022.059156502</v>
      </c>
      <c r="H12" s="18">
        <f>-(H6-G6)*Assumptions!B11</f>
        <v>-11701043.620529374</v>
      </c>
      <c r="I12" s="18">
        <f>-(I6-H6)*Assumptions!B11</f>
        <v>-10769128.230929505</v>
      </c>
      <c r="J12" s="18">
        <f>-(J6-I6)*Assumptions!B11</f>
        <v>-9709614.295618832</v>
      </c>
      <c r="K12" s="18">
        <f>-(K6-J6)*Assumptions!B11</f>
        <v>-8531295.007928006</v>
      </c>
    </row>
    <row r="13" spans="1:11" x14ac:dyDescent="0.25">
      <c r="A13" s="19" t="s">
        <v>56</v>
      </c>
      <c r="B13" s="20">
        <f>B9+B10+B11+B12</f>
        <v>-150758833.38982332</v>
      </c>
      <c r="C13" s="20">
        <f>C9+C10+C11+C12</f>
        <v>-20644258.67109812</v>
      </c>
      <c r="D13" s="20">
        <f>D9+D10+D11+D12</f>
        <v>124348887.77037013</v>
      </c>
      <c r="E13" s="20">
        <f>E9+E10+E11+E12</f>
        <v>284204289.2965631</v>
      </c>
      <c r="F13" s="20">
        <f>F9+F10+F11+F12</f>
        <v>458087785.0457314</v>
      </c>
      <c r="G13" s="20">
        <f>G9+G10+G11+G12</f>
        <v>644863478.0110463</v>
      </c>
      <c r="H13" s="20">
        <f>H9+H10+H11+H12</f>
        <v>843097368.0207851</v>
      </c>
      <c r="I13" s="20">
        <f>I9+I10+I11+I12</f>
        <v>1051068892.3952206</v>
      </c>
      <c r="J13" s="20">
        <f>J9+J10+J11+J12</f>
        <v>1266790534.9752128</v>
      </c>
      <c r="K13" s="20">
        <f>K9+K10+K11+K12</f>
        <v>1488035397.620245</v>
      </c>
    </row>
    <row r="14" spans="1:11" x14ac:dyDescent="0.25">
      <c r="A14" t="s">
        <v>57</v>
      </c>
      <c r="B14" s="21">
        <f>1/(1+Assumptions!$B$26)^(1-0.5*Assumptions!$B$32)</f>
        <v>0.9684910605080529</v>
      </c>
      <c r="C14" s="21">
        <f>1/(1+Assumptions!$B$26)^(2-0.5*Assumptions!$B$32)</f>
        <v>0.9084203388346953</v>
      </c>
      <c r="D14" s="21">
        <f>1/(1+Assumptions!$B$26)^(3-0.5*Assumptions!$B$32)</f>
        <v>0.8520755076207345</v>
      </c>
      <c r="E14" s="21">
        <f>1/(1+Assumptions!$B$26)^(4-0.5*Assumptions!$B$32)</f>
        <v>0.7992254682655756</v>
      </c>
      <c r="F14" s="21">
        <f>1/(1+Assumptions!$B$26)^(5-0.5*Assumptions!$B$32)</f>
        <v>0.7496534560745131</v>
      </c>
      <c r="G14" s="21">
        <f>1/(1+Assumptions!$B$26)^(6-0.5*Assumptions!$B$32)</f>
        <v>0.7031561511972748</v>
      </c>
      <c r="H14" s="21">
        <f>1/(1+Assumptions!$B$26)^(7-0.5*Assumptions!$B$32)</f>
        <v>0.6595428447106635</v>
      </c>
      <c r="I14" s="21">
        <f>1/(1+Assumptions!$B$26)^(8-0.5*Assumptions!$B$32)</f>
        <v>0.6186346564249757</v>
      </c>
      <c r="J14" s="21">
        <f>1/(1+Assumptions!$B$26)^(9-0.5*Assumptions!$B$32)</f>
        <v>0.5802638012060298</v>
      </c>
      <c r="K14" s="21">
        <f>1/(1+Assumptions!$B$26)^(10-0.5*Assumptions!$B$32)</f>
        <v>0.5442729008036176</v>
      </c>
    </row>
    <row r="15" spans="1:11" x14ac:dyDescent="0.25">
      <c r="A15" s="19" t="s">
        <v>58</v>
      </c>
      <c r="B15" s="20">
        <f>B13*B14</f>
        <v>-146008582.43066683</v>
      </c>
      <c r="C15" s="20">
        <f>C13*C14</f>
        <v>-18753664.456990052</v>
      </c>
      <c r="D15" s="20">
        <f>D13*D14</f>
        <v>105954641.66901186</v>
      </c>
      <c r="E15" s="20">
        <f>E13*E14</f>
        <v>227143306.19613075</v>
      </c>
      <c r="F15" s="20">
        <f>F13*F14</f>
        <v>343407091.2450512</v>
      </c>
      <c r="G15" s="20">
        <f>G13*G14</f>
        <v>453439721.2459358</v>
      </c>
      <c r="H15" s="20">
        <f>H13*H14</f>
        <v>556058836.4725018</v>
      </c>
      <c r="I15" s="20">
        <f>I13*I14</f>
        <v>650227643.125897</v>
      </c>
      <c r="J15" s="20">
        <f>J13*J14</f>
        <v>735072691.156537</v>
      </c>
      <c r="K15" s="20">
        <f>K13*K14</f>
        <v>809897342.3612353</v>
      </c>
    </row>
    <row r="17" spans="1:2" x14ac:dyDescent="0.25">
      <c r="A17" s="22" t="s">
        <v>59</v>
      </c>
      <c r="B17" s="23">
        <f>SUM(B15:K15)</f>
        <v>3716439026.584644</v>
      </c>
    </row>
    <row r="19" spans="1:11" x14ac:dyDescent="0.25">
      <c r="A19" t="s">
        <v>7</v>
      </c>
      <c r="B19" s="9">
        <f>Assumptions!$B$10+($B$20-Assumptions!$B$10)*0/9</f>
        <v>0.3343579085453796</v>
      </c>
      <c r="C19" s="9">
        <f>Assumptions!$B$10+($B$20-Assumptions!$B$10)*1/9</f>
        <v>0.3208883932433491</v>
      </c>
      <c r="D19" s="9">
        <f>Assumptions!$B$10+($B$20-Assumptions!$B$10)*2/9</f>
        <v>0.3074188779413186</v>
      </c>
      <c r="E19" s="9">
        <f>Assumptions!$B$10+($B$20-Assumptions!$B$10)*3/9</f>
        <v>0.2939493626392881</v>
      </c>
      <c r="F19" s="9">
        <f>Assumptions!$B$10+($B$20-Assumptions!$B$10)*4/9</f>
        <v>0.2804798473372576</v>
      </c>
      <c r="G19" s="9">
        <f>Assumptions!$B$10+($B$20-Assumptions!$B$10)*5/9</f>
        <v>0.2670103320352271</v>
      </c>
      <c r="H19" s="9">
        <f>Assumptions!$B$10+($B$20-Assumptions!$B$10)*6/9</f>
        <v>0.2535408167331966</v>
      </c>
      <c r="I19" s="9">
        <f>Assumptions!$B$10+($B$20-Assumptions!$B$10)*7/9</f>
        <v>0.24007130143116612</v>
      </c>
      <c r="J19" s="9">
        <f>Assumptions!$B$10+($B$20-Assumptions!$B$10)*8/9</f>
        <v>0.22660178612913562</v>
      </c>
      <c r="K19" s="9">
        <f>Assumptions!$B$10+($B$20-Assumptions!$B$10)*9/9</f>
        <v>0.21313227082710512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0.21313227082710512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1488035397.620245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2364339469.2829556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0.37806285388676897</v>
      </c>
    </row>
    <row r="7" spans="1:2" x14ac:dyDescent="0.25">
      <c r="A7" t="s">
        <v>66</v>
      </c>
      <c r="B7" s="18">
        <f>-MAX(B5,0)*B6</f>
        <v>-893868927.314243</v>
      </c>
    </row>
    <row r="8" spans="1:2" x14ac:dyDescent="0.25">
      <c r="A8" t="s">
        <v>67</v>
      </c>
      <c r="B8" s="18">
        <f>IF(OR(Assumptions!$B$33=0,Assumptions!B12&lt;=0),B5,MAX(B5+B7,0))</f>
        <v>1470470541.9687128</v>
      </c>
    </row>
    <row r="9" spans="1:2" x14ac:dyDescent="0.25">
      <c r="A9" t="s">
        <v>68</v>
      </c>
      <c r="B9" s="18">
        <f>B8*(1+Assumptions!B12)/(Assumptions!B26-Assumptions!B12)</f>
        <v>36648626019.883965</v>
      </c>
    </row>
    <row r="10" spans="1:2" x14ac:dyDescent="0.25">
      <c r="A10" t="s">
        <v>69</v>
      </c>
      <c r="B10" s="18">
        <f>B9/(1+Assumptions!B26)^(10-0.5*Assumptions!B32)</f>
        <v>19946853994.30918</v>
      </c>
    </row>
    <row r="11" spans="1:2" x14ac:dyDescent="0.25">
      <c r="A11" t="s">
        <v>70</v>
      </c>
      <c r="B11" s="18">
        <f>Forecast!B17+B10</f>
        <v>23663293020.893826</v>
      </c>
    </row>
    <row r="12" spans="1:2" x14ac:dyDescent="0.25">
      <c r="A12" t="s">
        <v>71</v>
      </c>
      <c r="B12" s="18">
        <f>-Assumptions!B30</f>
        <v>-18279000000</v>
      </c>
    </row>
    <row r="13" spans="1:2" x14ac:dyDescent="0.25">
      <c r="A13" t="s">
        <v>72</v>
      </c>
      <c r="B13" s="18">
        <f>B11+B12</f>
        <v>5384293020.893826</v>
      </c>
    </row>
    <row r="14" spans="1:2" x14ac:dyDescent="0.25">
      <c r="A14" s="19" t="s">
        <v>73</v>
      </c>
      <c r="B14" s="24">
        <f>B13/Assumptions!B31</f>
        <v>7.243300608724078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5045133559.333429</v>
      </c>
    </row>
    <row r="18" spans="1:2" x14ac:dyDescent="0.25">
      <c r="A18" t="s">
        <v>68</v>
      </c>
      <c r="B18" s="18">
        <f>B17*Assumptions!B13</f>
        <v>64195196658.35787</v>
      </c>
    </row>
    <row r="19" spans="1:2" x14ac:dyDescent="0.25">
      <c r="A19" t="s">
        <v>69</v>
      </c>
      <c r="B19" s="18">
        <f>B18/(1+Assumptions!B26)^(10-0.5*Assumptions!B32)</f>
        <v>34939705902.90314</v>
      </c>
    </row>
    <row r="20" spans="1:2" x14ac:dyDescent="0.25">
      <c r="A20" t="s">
        <v>70</v>
      </c>
      <c r="B20" s="18">
        <f>Forecast!B17+B19</f>
        <v>38656144929.48778</v>
      </c>
    </row>
    <row r="21" spans="1:2" x14ac:dyDescent="0.25">
      <c r="A21" t="s">
        <v>71</v>
      </c>
      <c r="B21" s="18">
        <f>-Assumptions!B30</f>
        <v>-18279000000</v>
      </c>
    </row>
    <row r="22" spans="1:2" x14ac:dyDescent="0.25">
      <c r="A22" t="s">
        <v>72</v>
      </c>
      <c r="B22" s="18">
        <f>B20+B21</f>
        <v>20377144929.487778</v>
      </c>
    </row>
    <row r="23" spans="1:2" x14ac:dyDescent="0.25">
      <c r="A23" s="19" t="s">
        <v>73</v>
      </c>
      <c r="B23" s="25">
        <f>B22/Assumptions!B31</f>
        <v>27.412658579141638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35.65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7.243300608724078</v>
      </c>
    </row>
    <row r="29" spans="1:2" x14ac:dyDescent="0.25">
      <c r="A29" s="19" t="s">
        <v>81</v>
      </c>
      <c r="B29" s="11">
        <f>B28/B26-1</f>
        <v>-0.79682186230788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0.046127</v>
      </c>
      <c r="B5" s="31">
        <v>27.330503529060238</v>
      </c>
      <c r="C5" s="31">
        <v>26.39163665723055</v>
      </c>
      <c r="D5" s="31">
        <v>25.452769785400847</v>
      </c>
      <c r="E5" s="31">
        <v>24.513902913571165</v>
      </c>
      <c r="F5" s="31">
        <v>23.575036041741466</v>
      </c>
    </row>
    <row r="6" spans="1:6" x14ac:dyDescent="0.25">
      <c r="A6" s="30">
        <v>0.056127</v>
      </c>
      <c r="B6" s="31">
        <v>16.123410548627092</v>
      </c>
      <c r="C6" s="31">
        <v>15.395486577973733</v>
      </c>
      <c r="D6" s="31">
        <v>14.667562607320386</v>
      </c>
      <c r="E6" s="31">
        <v>13.939638636667043</v>
      </c>
      <c r="F6" s="31">
        <v>13.21171466601367</v>
      </c>
    </row>
    <row r="7" spans="1:6" x14ac:dyDescent="0.25">
      <c r="A7" s="30">
        <v>0.066127</v>
      </c>
      <c r="B7" s="31">
        <v>8.409836748424205</v>
      </c>
      <c r="C7" s="31">
        <v>7.82643438409236</v>
      </c>
      <c r="D7" s="32">
        <v>7.2430320197605</v>
      </c>
      <c r="E7" s="31">
        <v>6.659629655428651</v>
      </c>
      <c r="F7" s="31">
        <v>6.076227291096801</v>
      </c>
    </row>
    <row r="8" spans="1:6" x14ac:dyDescent="0.25">
      <c r="A8" s="30">
        <v>0.076127</v>
      </c>
      <c r="B8" s="31">
        <v>2.806116338591675</v>
      </c>
      <c r="C8" s="31">
        <v>2.3271767424681076</v>
      </c>
      <c r="D8" s="31">
        <v>1.848237146344525</v>
      </c>
      <c r="E8" s="31">
        <v>1.3692975502209528</v>
      </c>
      <c r="F8" s="31">
        <v>0.8903579540973752</v>
      </c>
    </row>
    <row r="9" spans="1:6" x14ac:dyDescent="0.25">
      <c r="A9" s="30">
        <v>0.086127</v>
      </c>
      <c r="B9" s="31">
        <v>-1.428257579170503</v>
      </c>
      <c r="C9" s="31">
        <v>-1.8286896115009312</v>
      </c>
      <c r="D9" s="31">
        <v>-2.229121643831362</v>
      </c>
      <c r="E9" s="31">
        <v>-2.629553676161793</v>
      </c>
      <c r="F9" s="31">
        <v>-3.029985708492231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9042000000</v>
      </c>
      <c r="C5" s="18">
        <v>8462000000</v>
      </c>
      <c r="D5" s="18">
        <v>8312000000</v>
      </c>
      <c r="E5" s="18">
        <v>7902000000</v>
      </c>
      <c r="F5" s="6" t="s">
        <v>91</v>
      </c>
    </row>
    <row r="6" spans="1:6" x14ac:dyDescent="0.25">
      <c r="A6" t="s">
        <v>51</v>
      </c>
      <c r="B6" s="18">
        <v>2129000000</v>
      </c>
      <c r="C6" s="18">
        <v>1740000000</v>
      </c>
      <c r="D6" s="18">
        <v>1630000000</v>
      </c>
      <c r="E6" s="18">
        <v>1374000000</v>
      </c>
      <c r="F6" s="6" t="s">
        <v>92</v>
      </c>
    </row>
    <row r="7" spans="1:6" x14ac:dyDescent="0.25">
      <c r="A7" t="s">
        <v>93</v>
      </c>
      <c r="B7" s="18">
        <v>1416000000</v>
      </c>
      <c r="C7" s="18">
        <v>1357000000</v>
      </c>
      <c r="D7" s="18">
        <v>1335000000</v>
      </c>
      <c r="E7" s="18">
        <v>1233000000</v>
      </c>
      <c r="F7" s="6" t="s">
        <v>94</v>
      </c>
    </row>
    <row r="8" spans="1:6" x14ac:dyDescent="0.25">
      <c r="A8" t="s">
        <v>95</v>
      </c>
      <c r="B8" s="18">
        <v>4030000000</v>
      </c>
      <c r="C8" s="18">
        <v>2805000000</v>
      </c>
      <c r="D8" s="18">
        <v>2390000000</v>
      </c>
      <c r="E8" s="18">
        <v>2155000000</v>
      </c>
      <c r="F8" s="6" t="s">
        <v>96</v>
      </c>
    </row>
    <row r="9" spans="1:6" x14ac:dyDescent="0.25">
      <c r="A9" t="s">
        <v>97</v>
      </c>
      <c r="B9" s="18">
        <v>-6000000</v>
      </c>
      <c r="C9" s="18">
        <v>7000000</v>
      </c>
      <c r="D9" s="18">
        <v>139000000</v>
      </c>
      <c r="E9" s="18">
        <v>392000000</v>
      </c>
      <c r="F9" s="6" t="s">
        <v>98</v>
      </c>
    </row>
    <row r="10" spans="1:6" x14ac:dyDescent="0.25">
      <c r="A10" t="s">
        <v>99</v>
      </c>
      <c r="B10" s="18">
        <v>19350000000</v>
      </c>
      <c r="C10" s="18">
        <v>16806000000</v>
      </c>
      <c r="D10" s="18">
        <v>15604000000</v>
      </c>
      <c r="E10" s="18">
        <v>14228000000</v>
      </c>
      <c r="F10" s="6" t="s">
        <v>100</v>
      </c>
    </row>
    <row r="11" spans="1:6" x14ac:dyDescent="0.25">
      <c r="A11" t="s">
        <v>101</v>
      </c>
      <c r="B11" s="18">
        <v>1071000000</v>
      </c>
      <c r="C11" s="18">
        <v>306000000</v>
      </c>
      <c r="D11" s="18">
        <v>331000000</v>
      </c>
      <c r="E11" s="18">
        <v>356000000</v>
      </c>
      <c r="F11" s="6" t="s">
        <v>102</v>
      </c>
    </row>
    <row r="12" spans="1:6" x14ac:dyDescent="0.25">
      <c r="A12" t="s">
        <v>34</v>
      </c>
      <c r="B12" s="34">
        <v>743348000</v>
      </c>
      <c r="C12" s="34">
        <v>739853000</v>
      </c>
      <c r="D12" s="34">
        <v>738166000</v>
      </c>
      <c r="E12" s="34">
        <v>736902000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