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<sst xmlns="http://schemas.openxmlformats.org/spreadsheetml/2006/main" count="113" uniqueCount="101">
  <si>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PPL Corporation (PPL)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</si>
  <si>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</si>
  <si>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</si>
  <si>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</si>
  <si>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</si>
  <si>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</si>
  <si>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</si>
  <si>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</si>
  <si>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</si>
  <si>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</si>
  <si>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</si>
  <si>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</si>
  <si>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</si>
  <si>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</si>
  <si>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</si>
  <si>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</si>
  <si>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</si>
  <si>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</si>
  <si>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</si>
  <si>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</si>
  <si>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</si>
  <si>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</si>
  <si>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</si>
  <si>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</si>
  <si>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</si>
  <si>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</si>
  <si>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</si>
  <si>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</si>
  <si>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</si>
  <si>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</si>
  <si>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</si>
  <si>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</si>
  <si>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</si>
  <si>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</si>
  <si>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</si>
  <si>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</si>
  <si>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</si>
  <si>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</si>
  <si>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</si>
  <si>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</si>
  <si>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</si>
  <si>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</si>
  <si>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</si>
  <si>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</si>
  <si>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</si>
  <si>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</si>
  <si>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</si>
  <si>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</si>
  <si>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</si>
  <si>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</si>
  <si>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</si>
  <si>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</si>
  <si>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</si>
  <si>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</si>
  <si>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</si>
  <si>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</si>
  <si>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</si>
  <si>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</si>
  <si>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</si>
  <si>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</si>
  <si>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</si>
  <si>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</si>
  <si>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</si>
  <si>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</si>
  <si>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</si>
  <si>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</si>
  <si>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</si>
  <si>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</si>
  <si>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</si>
  <si>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</si>
  <si>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</si>
  <si>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</si>
  <si>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</si>
  <si>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</si>
  <si>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</si>
  <si>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</si>
  <si>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</si>
  <si>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</si>
  <si>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</si>
  <si>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</si>
  <si>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</si>
  <si>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</si>
  <si>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</si>
  <si>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</si>
  <si>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</si>
  <si>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</si>
  <si>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</si>
  <si>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</si>
  <si>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</si>
  <si>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</si>
  <si>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</si>
  <si>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</si>
  <si>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</si>
  <si>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</si>
  <si>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</si>
  <si>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</si>
  <si>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</si>
  <si>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</si>
  <si>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</si>
  <si>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33.4% of revenue against depreciation of 15.8%.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</si>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</sst>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0.045945748857909585</v>
      </c>
    </row>
    <row r="7" spans="1:2" x14ac:dyDescent="0.25">
      <c r="A7" t="s">
        <v>5</v>
      </c>
      <c r="B7" s="6">
        <v>0.20276598915501162</v>
      </c>
    </row>
    <row r="8" spans="1:2" x14ac:dyDescent="0.25">
      <c r="A8" t="s">
        <v>6</v>
      </c>
      <c r="B8" s="6">
        <v>0.20171763720150818</v>
      </c>
    </row>
    <row r="9" spans="1:2" x14ac:dyDescent="0.25">
      <c r="A9" t="s">
        <v>7</v>
      </c>
      <c r="B9" s="6">
        <v>0.1584035281907848</v>
      </c>
    </row>
    <row r="10" spans="1:2" x14ac:dyDescent="0.25">
      <c r="A10" t="s">
        <v>8</v>
      </c>
      <c r="B10" s="6">
        <v>0.3343579085453796</v>
      </c>
    </row>
    <row r="11" spans="1:2" x14ac:dyDescent="0.25">
      <c r="A11" t="s">
        <v>9</v>
      </c>
      <c r="B11" s="6">
        <v>0.04666666666666667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12.233806840056417</v>
      </c>
    </row>
    <row r="14" spans="1:3" x14ac:dyDescent="0.25">
      <c r="A14" t="s">
        <v>12</v>
      </c>
      <c r="B14" s="6">
        <v>0.06796646872871326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0.72061</v>
      </c>
      <c r="C19" s="8" t="s">
        <v>19</v>
      </c>
    </row>
    <row r="20" spans="1:2" x14ac:dyDescent="0.25">
      <c r="A20" t="s">
        <v>20</v>
      </c>
      <c r="B20" s="10">
        <f>B17+B19*B18</f>
        <v>0.08961355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25089845248</v>
      </c>
    </row>
    <row r="23" spans="1:2" x14ac:dyDescent="0.25">
      <c r="A23" t="s">
        <v>24</v>
      </c>
      <c r="B23" s="11">
        <v>19350000000</v>
      </c>
    </row>
    <row r="24" spans="1:2" x14ac:dyDescent="0.25">
      <c r="A24" t="s">
        <v>25</v>
      </c>
      <c r="B24" s="10">
        <f>B22/(B22+B23)</f>
        <v>0.5645799418963809</v>
      </c>
    </row>
    <row r="25" spans="1:2" x14ac:dyDescent="0.25">
      <c r="A25" t="s">
        <v>26</v>
      </c>
      <c r="B25" s="10">
        <f>1-B24</f>
        <v>0.43542005810361906</v>
      </c>
    </row>
    <row r="26" spans="1:2" x14ac:dyDescent="0.25">
      <c r="A26" t="s">
        <v>27</v>
      </c>
      <c r="B26" s="12">
        <f>B24*B20+B25*B21*(1-B8)</f>
        <v>0.06796646872871326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9042000000</v>
      </c>
      <c r="C29" s="8" t="s">
        <v>30</v>
      </c>
    </row>
    <row r="30" spans="1:2" x14ac:dyDescent="0.25">
      <c r="A30" t="s">
        <v>31</v>
      </c>
      <c r="B30" s="11">
        <v>18279000000</v>
      </c>
    </row>
    <row r="31" spans="1:2" x14ac:dyDescent="0.25">
      <c r="A31" t="s">
        <v>32</v>
      </c>
      <c r="B31" s="13">
        <v>743348000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0.045945748857909585</v>
      </c>
      <c r="C5" s="10">
        <f>Assumptions!B6</f>
        <v>0.045945748857909585</v>
      </c>
      <c r="D5" s="10">
        <f>Assumptions!B6</f>
        <v>0.045945748857909585</v>
      </c>
      <c r="E5" s="10">
        <f>Assumptions!B6</f>
        <v>0.045945748857909585</v>
      </c>
      <c r="F5" s="10">
        <f>Assumptions!B6</f>
        <v>0.045945748857909585</v>
      </c>
    </row>
    <row r="6" spans="1:6" x14ac:dyDescent="0.25">
      <c r="A6" t="s">
        <v>43</v>
      </c>
      <c r="B6" s="18">
        <f>Assumptions!B29*(1+B5)</f>
        <v>9457441461.173218</v>
      </c>
      <c r="C6" s="18">
        <f>B6*(1+C5)</f>
        <v>9891970691.386663</v>
      </c>
      <c r="D6" s="18">
        <f>C6*(1+D5)</f>
        <v>10346464692.482918</v>
      </c>
      <c r="E6" s="18">
        <f>D6*(1+E5)</f>
        <v>10821840760.810966</v>
      </c>
      <c r="F6" s="18">
        <f>E6*(1+F5)</f>
        <v>11319058338.587477</v>
      </c>
    </row>
    <row r="7" spans="1:6" x14ac:dyDescent="0.25">
      <c r="A7" t="s">
        <v>5</v>
      </c>
      <c r="B7" s="10">
        <f>Assumptions!B7</f>
        <v>0.20276598915501162</v>
      </c>
      <c r="C7" s="10">
        <f>Assumptions!B7</f>
        <v>0.20276598915501162</v>
      </c>
      <c r="D7" s="10">
        <f>Assumptions!B7</f>
        <v>0.20276598915501162</v>
      </c>
      <c r="E7" s="10">
        <f>Assumptions!B7</f>
        <v>0.20276598915501162</v>
      </c>
      <c r="F7" s="10">
        <f>Assumptions!B7</f>
        <v>0.20276598915501162</v>
      </c>
    </row>
    <row r="8" spans="1:6" x14ac:dyDescent="0.25">
      <c r="A8" t="s">
        <v>44</v>
      </c>
      <c r="B8" s="18">
        <f>B6*B7</f>
        <v>1917647472.750406</v>
      </c>
      <c r="C8" s="18">
        <f>C6*C7</f>
        <v>2005755221.931401</v>
      </c>
      <c r="D8" s="18">
        <f>D6*D7</f>
        <v>2097911147.628702</v>
      </c>
      <c r="E8" s="18">
        <f>E6*E7</f>
        <v>2194301246.343859</v>
      </c>
      <c r="F8" s="18">
        <f>F6*F7</f>
        <v>2295120060.326972</v>
      </c>
    </row>
    <row r="9" spans="1:6" x14ac:dyDescent="0.25">
      <c r="A9" t="s">
        <v>45</v>
      </c>
      <c r="B9" s="18">
        <f>B8*(1-Assumptions!B8)</f>
        <v>1530824155.5617507</v>
      </c>
      <c r="C9" s="18">
        <f>C8*(1-Assumptions!B8)</f>
        <v>1601159017.7588122</v>
      </c>
      <c r="D9" s="18">
        <f>D8*(1-Assumptions!B8)</f>
        <v>1674725467.8703358</v>
      </c>
      <c r="E9" s="18">
        <f>E8*(1-Assumptions!B8)</f>
        <v>1751671983.6230514</v>
      </c>
      <c r="F9" s="18">
        <f>F8*(1-Assumptions!B8)</f>
        <v>1832153864.6640325</v>
      </c>
    </row>
    <row r="10" spans="1:6" x14ac:dyDescent="0.25">
      <c r="A10" t="s">
        <v>46</v>
      </c>
      <c r="B10" s="18">
        <f>B6*Assumptions!B9</f>
        <v>1498092095.1076486</v>
      </c>
      <c r="C10" s="18">
        <f>C6*Assumptions!B9</f>
        <v>1566923058.2754843</v>
      </c>
      <c r="D10" s="18">
        <f>D6*Assumptions!B9</f>
        <v>1638916511.5906773</v>
      </c>
      <c r="E10" s="18">
        <f>E6*Assumptions!B9</f>
        <v>1714217758.031304</v>
      </c>
      <c r="F10" s="18">
        <f>F6*Assumptions!B9</f>
        <v>1792978776.629579</v>
      </c>
    </row>
    <row r="11" spans="1:6" x14ac:dyDescent="0.25">
      <c r="A11" t="s">
        <v>47</v>
      </c>
      <c r="B11" s="18">
        <f>-B6*Assumptions!B10</f>
        <v>-3162170347.1482363</v>
      </c>
      <c r="C11" s="18">
        <f>-C6*Assumptions!B10</f>
        <v>-3307458631.7642374</v>
      </c>
      <c r="D11" s="18">
        <f>-D6*Assumptions!B10</f>
        <v>-3459422295.4172025</v>
      </c>
      <c r="E11" s="18">
        <f>-E6*Assumptions!B10</f>
        <v>-3618368043.3958945</v>
      </c>
      <c r="F11" s="18">
        <f>-F6*Assumptions!B10</f>
        <v>-3784616672.793248</v>
      </c>
    </row>
    <row r="12" spans="1:6" x14ac:dyDescent="0.25">
      <c r="A12" t="s">
        <v>48</v>
      </c>
      <c r="B12" s="18">
        <f>-(B6-Assumptions!B29)*Assumptions!B11</f>
        <v>-19387268.188083496</v>
      </c>
      <c r="C12" s="18">
        <f>-(C6-B6)*Assumptions!B11</f>
        <v>-20278030.74329413</v>
      </c>
      <c r="D12" s="18">
        <f>-(D6-C6)*Assumptions!B11</f>
        <v>-21209720.051158536</v>
      </c>
      <c r="E12" s="18">
        <f>-(E6-D6)*Assumptions!B11</f>
        <v>-22184216.521975607</v>
      </c>
      <c r="F12" s="18">
        <f>-(F6-E6)*Assumptions!B11</f>
        <v>-23203486.962903813</v>
      </c>
    </row>
    <row r="13" spans="1:6" x14ac:dyDescent="0.25">
      <c r="A13" s="19" t="s">
        <v>49</v>
      </c>
      <c r="B13" s="20">
        <f>B9+B10+B11+B12</f>
        <v>-152641364.6669205</v>
      </c>
      <c r="C13" s="20">
        <f>C9+C10+C11+C12</f>
        <v>-159654586.473235</v>
      </c>
      <c r="D13" s="20">
        <f>D9+D10+D11+D12</f>
        <v>-166990036.00734818</v>
      </c>
      <c r="E13" s="20">
        <f>E9+E10+E11+E12</f>
        <v>-174662518.26351508</v>
      </c>
      <c r="F13" s="20">
        <f>F9+F10+F11+F12</f>
        <v>-182687518.46254045</v>
      </c>
    </row>
    <row r="14" spans="1:6" x14ac:dyDescent="0.25">
      <c r="A14" t="s">
        <v>50</v>
      </c>
      <c r="B14" s="21">
        <f>1/(1+Assumptions!$B$26)^(1-0.5*Assumptions!$B$32)</f>
        <v>0.967656440190777</v>
      </c>
      <c r="C14" s="21">
        <f>1/(1+Assumptions!$B$26)^(2-0.5*Assumptions!$B$32)</f>
        <v>0.9060738033682428</v>
      </c>
      <c r="D14" s="21">
        <f>1/(1+Assumptions!$B$26)^(3-0.5*Assumptions!$B$32)</f>
        <v>0.8484103479829435</v>
      </c>
      <c r="E14" s="21">
        <f>1/(1+Assumptions!$B$26)^(4-0.5*Assumptions!$B$32)</f>
        <v>0.7944166533551139</v>
      </c>
      <c r="F14" s="21">
        <f>1/(1+Assumptions!$B$26)^(5-0.5*Assumptions!$B$32)</f>
        <v>0.7438591721899023</v>
      </c>
    </row>
    <row r="15" spans="1:6" x14ac:dyDescent="0.25">
      <c r="A15" s="19" t="s">
        <v>51</v>
      </c>
      <c r="B15" s="20">
        <f>B13*B14</f>
        <v>-147704399.55945456</v>
      </c>
      <c r="C15" s="20">
        <f>C13*C14</f>
        <v>-144658838.39098805</v>
      </c>
      <c r="D15" s="20">
        <f>D13*D14</f>
        <v>-141676074.55867854</v>
      </c>
      <c r="E15" s="20">
        <f>E13*E14</f>
        <v>-138754813.2254781</v>
      </c>
      <c r="F15" s="20">
        <f>F13*F14</f>
        <v>-135893786.2529728</v>
      </c>
    </row>
    <row r="17" spans="1:2" x14ac:dyDescent="0.25">
      <c r="A17" s="22" t="s">
        <v>52</v>
      </c>
      <c r="B17" s="23">
        <f>SUM(B15:F15)</f>
        <v>-708687911.9875722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-182687518.46254045</v>
      </c>
    </row>
    <row r="5" spans="1:2" x14ac:dyDescent="0.25">
      <c r="A5" t="s">
        <v>56</v>
      </c>
      <c r="B5" s="18">
        <f>IF(Assumptions!$B$33=0,B4,B4-Forecast!F11-Forecast!F10-Forecast!F12)</f>
        <v>1915836978.5205767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0.3678284375754018</v>
      </c>
    </row>
    <row r="7" spans="1:2" x14ac:dyDescent="0.25">
      <c r="A7" t="s">
        <v>58</v>
      </c>
      <c r="B7" s="18">
        <f>-MAX(Forecast!F9,0)*B6</f>
        <v>-704699322.4584023</v>
      </c>
    </row>
    <row r="8" spans="1:2" x14ac:dyDescent="0.25">
      <c r="A8" t="s">
        <v>59</v>
      </c>
      <c r="B8" s="18">
        <f>IF(OR(Assumptions!$B$33=0,Assumptions!B12&lt;=0),B5,MAX(B5+B7,0))</f>
        <v>1211137656.0621743</v>
      </c>
    </row>
    <row r="9" spans="1:2" x14ac:dyDescent="0.25">
      <c r="A9" t="s">
        <v>60</v>
      </c>
      <c r="B9" s="18">
        <f>B8*(1+Assumptions!B12)/(Assumptions!B26-Assumptions!B12)</f>
        <v>28892672220.79449</v>
      </c>
    </row>
    <row r="10" spans="1:2" x14ac:dyDescent="0.25">
      <c r="A10" t="s">
        <v>61</v>
      </c>
      <c r="B10" s="18">
        <f>B9/(1+Assumptions!B26)^(5-0.5*Assumptions!B32)</f>
        <v>21492079240.514374</v>
      </c>
    </row>
    <row r="11" spans="1:2" x14ac:dyDescent="0.25">
      <c r="A11" t="s">
        <v>62</v>
      </c>
      <c r="B11" s="18">
        <f>Forecast!B17+B10</f>
        <v>20783391328.526802</v>
      </c>
    </row>
    <row r="12" spans="1:2" x14ac:dyDescent="0.25">
      <c r="A12" t="s">
        <v>63</v>
      </c>
      <c r="B12" s="18">
        <f>-Assumptions!B30</f>
        <v>-18279000000</v>
      </c>
    </row>
    <row r="13" spans="1:2" x14ac:dyDescent="0.25">
      <c r="A13" t="s">
        <v>64</v>
      </c>
      <c r="B13" s="18">
        <f>B11+B12</f>
        <v>2504391328.526802</v>
      </c>
    </row>
    <row r="14" spans="1:2" x14ac:dyDescent="0.25">
      <c r="A14" s="19" t="s">
        <v>65</v>
      </c>
      <c r="B14" s="24">
        <f>B13/Assumptions!B31</f>
        <v>3.3690698414831304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4088098836.956551</v>
      </c>
    </row>
    <row r="18" spans="1:2" x14ac:dyDescent="0.25">
      <c r="A18" t="s">
        <v>60</v>
      </c>
      <c r="B18" s="18">
        <f>B17*Assumptions!B13</f>
        <v>50013011514.385735</v>
      </c>
    </row>
    <row r="19" spans="1:2" x14ac:dyDescent="0.25">
      <c r="A19" t="s">
        <v>61</v>
      </c>
      <c r="B19" s="18">
        <f>B18/(1+Assumptions!B26)^(5-0.5*Assumptions!B32)</f>
        <v>37202637343.815025</v>
      </c>
    </row>
    <row r="20" spans="1:2" x14ac:dyDescent="0.25">
      <c r="A20" t="s">
        <v>62</v>
      </c>
      <c r="B20" s="18">
        <f>Forecast!B17+B19</f>
        <v>36493949431.82745</v>
      </c>
    </row>
    <row r="21" spans="1:2" x14ac:dyDescent="0.25">
      <c r="A21" t="s">
        <v>63</v>
      </c>
      <c r="B21" s="18">
        <f>-Assumptions!B30</f>
        <v>-18279000000</v>
      </c>
    </row>
    <row r="22" spans="1:2" x14ac:dyDescent="0.25">
      <c r="A22" t="s">
        <v>64</v>
      </c>
      <c r="B22" s="18">
        <f>B20+B21</f>
        <v>18214949431.827454</v>
      </c>
    </row>
    <row r="23" spans="1:2" x14ac:dyDescent="0.25">
      <c r="A23" s="19" t="s">
        <v>65</v>
      </c>
      <c r="B23" s="25">
        <f>B22/Assumptions!B31</f>
        <v>24.503932790331653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33.34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3.3690698414831304</v>
      </c>
    </row>
    <row r="29" spans="1:2" x14ac:dyDescent="0.25">
      <c r="A29" s="19" t="s">
        <v>73</v>
      </c>
      <c r="B29" s="12">
        <f>B28/B26-1</f>
        <v>-0.8989481151324796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0.047966</v>
      </c>
      <c r="B5" s="31">
        <v>18.58174848676556</v>
      </c>
      <c r="C5" s="31">
        <v>18.799339276417008</v>
      </c>
      <c r="D5" s="31">
        <v>19.016930066068426</v>
      </c>
      <c r="E5" s="31">
        <v>19.23452085571988</v>
      </c>
      <c r="F5" s="31">
        <v>19.452111645371293</v>
      </c>
    </row>
    <row r="6" spans="1:6" x14ac:dyDescent="0.25">
      <c r="A6" s="30">
        <v>0.057966</v>
      </c>
      <c r="B6" s="31">
        <v>9.455768297863356</v>
      </c>
      <c r="C6" s="31">
        <v>9.628288654343374</v>
      </c>
      <c r="D6" s="31">
        <v>9.80080901082339</v>
      </c>
      <c r="E6" s="31">
        <v>9.973329367303418</v>
      </c>
      <c r="F6" s="31">
        <v>10.145849723783424</v>
      </c>
    </row>
    <row r="7" spans="1:6" x14ac:dyDescent="0.25">
      <c r="A7" s="30">
        <v>0.067966</v>
      </c>
      <c r="B7" s="31">
        <v>3.087249243229868</v>
      </c>
      <c r="C7" s="31">
        <v>3.228287277932534</v>
      </c>
      <c r="D7" s="32">
        <v>3.3693253126351888</v>
      </c>
      <c r="E7" s="31">
        <v>3.510363347337854</v>
      </c>
      <c r="F7" s="31">
        <v>3.651401382040509</v>
      </c>
    </row>
    <row r="8" spans="1:6" x14ac:dyDescent="0.25">
      <c r="A8" s="30">
        <v>0.077966</v>
      </c>
      <c r="B8" s="31">
        <v>-1.5885586162706045</v>
      </c>
      <c r="C8" s="31">
        <v>-1.470660099526369</v>
      </c>
      <c r="D8" s="31">
        <v>-1.3527615827821335</v>
      </c>
      <c r="E8" s="31">
        <v>-1.2348630660378979</v>
      </c>
      <c r="F8" s="31">
        <v>-1.1169645492936624</v>
      </c>
    </row>
    <row r="9" spans="1:6" x14ac:dyDescent="0.25">
      <c r="A9" s="30">
        <v>0.087966</v>
      </c>
      <c r="B9" s="31">
        <v>-5.1520168152961165</v>
      </c>
      <c r="C9" s="31">
        <v>-5.0517741560953215</v>
      </c>
      <c r="D9" s="31">
        <v>-4.95153149689453</v>
      </c>
      <c r="E9" s="31">
        <v>-4.851288837693735</v>
      </c>
      <c r="F9" s="31">
        <v>-4.751046178492941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9042000000</v>
      </c>
      <c r="C5" s="18">
        <v>8462000000</v>
      </c>
      <c r="D5" s="18">
        <v>8312000000</v>
      </c>
      <c r="E5" s="18">
        <v>7902000000</v>
      </c>
      <c r="F5" s="8" t="s">
        <v>84</v>
      </c>
    </row>
    <row r="6" spans="1:6" x14ac:dyDescent="0.25">
      <c r="A6" t="s">
        <v>44</v>
      </c>
      <c r="B6" s="18">
        <v>2129000000</v>
      </c>
      <c r="C6" s="18">
        <v>1740000000</v>
      </c>
      <c r="D6" s="18">
        <v>1630000000</v>
      </c>
      <c r="E6" s="18">
        <v>1374000000</v>
      </c>
      <c r="F6" s="8" t="s">
        <v>85</v>
      </c>
    </row>
    <row r="7" spans="1:6" x14ac:dyDescent="0.25">
      <c r="A7" t="s">
        <v>86</v>
      </c>
      <c r="B7" s="18">
        <v>1416000000</v>
      </c>
      <c r="C7" s="18">
        <v>1357000000</v>
      </c>
      <c r="D7" s="18">
        <v>1335000000</v>
      </c>
      <c r="E7" s="18">
        <v>1233000000</v>
      </c>
      <c r="F7" s="8" t="s">
        <v>87</v>
      </c>
    </row>
    <row r="8" spans="1:6" x14ac:dyDescent="0.25">
      <c r="A8" t="s">
        <v>88</v>
      </c>
      <c r="B8" s="18">
        <v>4030000000</v>
      </c>
      <c r="C8" s="18">
        <v>2805000000</v>
      </c>
      <c r="D8" s="18">
        <v>2390000000</v>
      </c>
      <c r="E8" s="18">
        <v>2155000000</v>
      </c>
      <c r="F8" s="8" t="s">
        <v>89</v>
      </c>
    </row>
    <row r="9" spans="1:6" x14ac:dyDescent="0.25">
      <c r="A9" t="s">
        <v>90</v>
      </c>
      <c r="B9" s="18">
        <v>-6000000</v>
      </c>
      <c r="C9" s="18">
        <v>7000000</v>
      </c>
      <c r="D9" s="18">
        <v>139000000</v>
      </c>
      <c r="E9" s="18">
        <v>392000000</v>
      </c>
      <c r="F9" s="8" t="s">
        <v>91</v>
      </c>
    </row>
    <row r="10" spans="1:6" x14ac:dyDescent="0.25">
      <c r="A10" t="s">
        <v>92</v>
      </c>
      <c r="B10" s="18">
        <v>19350000000</v>
      </c>
      <c r="C10" s="18">
        <v>16806000000</v>
      </c>
      <c r="D10" s="18">
        <v>15604000000</v>
      </c>
      <c r="E10" s="18">
        <v>14228000000</v>
      </c>
      <c r="F10" s="8" t="s">
        <v>93</v>
      </c>
    </row>
    <row r="11" spans="1:6" x14ac:dyDescent="0.25">
      <c r="A11" t="s">
        <v>94</v>
      </c>
      <c r="B11" s="18">
        <v>1071000000</v>
      </c>
      <c r="C11" s="18">
        <v>306000000</v>
      </c>
      <c r="D11" s="18">
        <v>331000000</v>
      </c>
      <c r="E11" s="18">
        <v>356000000</v>
      </c>
      <c r="F11" s="8" t="s">
        <v>95</v>
      </c>
    </row>
    <row r="12" spans="1:6" x14ac:dyDescent="0.25">
      <c r="A12" t="s">
        <v>32</v>
      </c>
      <c r="B12" s="34">
        <v>743348000</v>
      </c>
      <c r="C12" s="34">
        <v>739853000</v>
      </c>
      <c r="D12" s="34">
        <v>738166000</v>
      </c>
      <c r="E12" s="34">
        <v>736902000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2026-09-19T00:06:16Z</dcterms:modified>
</cp:coreProperties>
</file>