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<sst xmlns="http://schemas.openxmlformats.org/spreadsheetml/2006/main" count="112" uniqueCount="100">
  <si>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Pembina Pipeline Corporation (PPL.TO)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</si>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</sst>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-0.125017357213851</v>
      </c>
    </row>
    <row r="7" spans="1:2" x14ac:dyDescent="0.25">
      <c r="A7" t="s">
        <v>5</v>
      </c>
      <c r="B7" s="6">
        <v>0.33562058074916534</v>
      </c>
    </row>
    <row r="8" spans="1:2" x14ac:dyDescent="0.25">
      <c r="A8" t="s">
        <v>6</v>
      </c>
      <c r="B8" s="6">
        <v>0.1886706258565555</v>
      </c>
    </row>
    <row r="9" spans="1:2" x14ac:dyDescent="0.25">
      <c r="A9" t="s">
        <v>7</v>
      </c>
      <c r="B9" s="6">
        <v>0.10179539782919493</v>
      </c>
    </row>
    <row r="10" spans="1:2" x14ac:dyDescent="0.25">
      <c r="A10" t="s">
        <v>8</v>
      </c>
      <c r="B10" s="6">
        <v>0.09448901298267996</v>
      </c>
    </row>
    <row r="11" spans="1:2" x14ac:dyDescent="0.25">
      <c r="A11" t="s">
        <v>9</v>
      </c>
      <c r="B11" s="6">
        <v>-0.03977272727272727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14.087218115666577</v>
      </c>
    </row>
    <row r="14" spans="1:3" x14ac:dyDescent="0.25">
      <c r="A14" t="s">
        <v>12</v>
      </c>
      <c r="B14" s="6">
        <v>0.08244470949359776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0.7989999999999999</v>
      </c>
      <c r="C19" s="8" t="s">
        <v>19</v>
      </c>
    </row>
    <row r="20" spans="1:2" x14ac:dyDescent="0.25">
      <c r="A20" t="s">
        <v>20</v>
      </c>
      <c r="B20" s="10">
        <f>B17+B19*B18</f>
        <v>0.076945</v>
      </c>
    </row>
    <row r="21" spans="1:3" x14ac:dyDescent="0.25">
      <c r="A21" t="s">
        <v>21</v>
      </c>
      <c r="B21" s="6">
        <v>0.04596147347076715</v>
      </c>
      <c r="C21" s="8" t="s">
        <v>22</v>
      </c>
    </row>
    <row r="22" spans="1:2" x14ac:dyDescent="0.25">
      <c r="A22" t="s">
        <v>23</v>
      </c>
      <c r="B22" s="11">
        <v>38679224320</v>
      </c>
    </row>
    <row r="23" spans="1:2" x14ac:dyDescent="0.25">
      <c r="A23" t="s">
        <v>24</v>
      </c>
      <c r="B23" s="11">
        <v>13310000000</v>
      </c>
    </row>
    <row r="24" spans="1:2" x14ac:dyDescent="0.25">
      <c r="A24" t="s">
        <v>25</v>
      </c>
      <c r="B24" s="10">
        <f>B22/(B22+B23)</f>
        <v>0.7439854090133114</v>
      </c>
    </row>
    <row r="25" spans="1:2" x14ac:dyDescent="0.25">
      <c r="A25" t="s">
        <v>26</v>
      </c>
      <c r="B25" s="10">
        <f>1-B24</f>
        <v>0.25601459098668855</v>
      </c>
    </row>
    <row r="26" spans="1:2" x14ac:dyDescent="0.25">
      <c r="A26" t="s">
        <v>27</v>
      </c>
      <c r="B26" s="12">
        <f>B24*B20+B25*B21*(1-B8)</f>
        <v>0.0667927141303405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7778000000</v>
      </c>
      <c r="C29" s="8" t="s">
        <v>30</v>
      </c>
    </row>
    <row r="30" spans="1:2" x14ac:dyDescent="0.25">
      <c r="A30" t="s">
        <v>31</v>
      </c>
      <c r="B30" s="11">
        <v>13204000000</v>
      </c>
    </row>
    <row r="31" spans="1:2" x14ac:dyDescent="0.25">
      <c r="A31" t="s">
        <v>32</v>
      </c>
      <c r="B31" s="13">
        <v>636842105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-0.125017357213851</v>
      </c>
      <c r="C5" s="10">
        <f>Assumptions!B6</f>
        <v>-0.125017357213851</v>
      </c>
      <c r="D5" s="10">
        <f>Assumptions!B6</f>
        <v>-0.125017357213851</v>
      </c>
      <c r="E5" s="10">
        <f>Assumptions!B6</f>
        <v>-0.125017357213851</v>
      </c>
      <c r="F5" s="10">
        <f>Assumptions!B6</f>
        <v>-0.125017357213851</v>
      </c>
    </row>
    <row r="6" spans="1:6" x14ac:dyDescent="0.25">
      <c r="A6" t="s">
        <v>43</v>
      </c>
      <c r="B6" s="18">
        <f>Assumptions!B29*(1+B5)</f>
        <v>6805614995.590667</v>
      </c>
      <c r="C6" s="18">
        <f>B6*(1+C5)</f>
        <v>5954794994.626967</v>
      </c>
      <c r="D6" s="18">
        <f>C6*(1+D5)</f>
        <v>5210342261.648436</v>
      </c>
      <c r="E6" s="18">
        <f>D6*(1+E5)</f>
        <v>4558959041.917509</v>
      </c>
      <c r="F6" s="18">
        <f>E6*(1+F5)</f>
        <v>3989010030.850792</v>
      </c>
    </row>
    <row r="7" spans="1:6" x14ac:dyDescent="0.25">
      <c r="A7" t="s">
        <v>5</v>
      </c>
      <c r="B7" s="10">
        <f>Assumptions!B7</f>
        <v>0.33562058074916534</v>
      </c>
      <c r="C7" s="10">
        <f>Assumptions!B7</f>
        <v>0.33562058074916534</v>
      </c>
      <c r="D7" s="10">
        <f>Assumptions!B7</f>
        <v>0.33562058074916534</v>
      </c>
      <c r="E7" s="10">
        <f>Assumptions!B7</f>
        <v>0.33562058074916534</v>
      </c>
      <c r="F7" s="10">
        <f>Assumptions!B7</f>
        <v>0.33562058074916534</v>
      </c>
    </row>
    <row r="8" spans="1:6" x14ac:dyDescent="0.25">
      <c r="A8" t="s">
        <v>44</v>
      </c>
      <c r="B8" s="18">
        <f>B6*B7</f>
        <v>2284104457.175368</v>
      </c>
      <c r="C8" s="18">
        <f>C6*C7</f>
        <v>1998551754.3389258</v>
      </c>
      <c r="D8" s="18">
        <f>D6*D7</f>
        <v>1748698095.7563674</v>
      </c>
      <c r="E8" s="18">
        <f>E6*E7</f>
        <v>1530080481.2600129</v>
      </c>
      <c r="F8" s="18">
        <f>F6*F7</f>
        <v>1338793863.1683888</v>
      </c>
    </row>
    <row r="9" spans="1:6" x14ac:dyDescent="0.25">
      <c r="A9" t="s">
        <v>45</v>
      </c>
      <c r="B9" s="18">
        <f>B8*(1-Assumptions!B8)</f>
        <v>1853161039.7183433</v>
      </c>
      <c r="C9" s="18">
        <f>C8*(1-Assumptions!B8)</f>
        <v>1621483744.0410838</v>
      </c>
      <c r="D9" s="18">
        <f>D8*(1-Assumptions!B8)</f>
        <v>1418770131.595847</v>
      </c>
      <c r="E9" s="18">
        <f>E8*(1-Assumptions!B8)</f>
        <v>1241399239.2497866</v>
      </c>
      <c r="F9" s="18">
        <f>F8*(1-Assumptions!B8)</f>
        <v>1086202787.111493</v>
      </c>
    </row>
    <row r="10" spans="1:6" x14ac:dyDescent="0.25">
      <c r="A10" t="s">
        <v>46</v>
      </c>
      <c r="B10" s="18">
        <f>B6*Assumptions!B9</f>
        <v>692780285.9484867</v>
      </c>
      <c r="C10" s="18">
        <f>C6*Assumptions!B9</f>
        <v>606170725.4693508</v>
      </c>
      <c r="D10" s="18">
        <f>D6*Assumptions!B9</f>
        <v>530388863.35076976</v>
      </c>
      <c r="E10" s="18">
        <f>E6*Assumptions!B9</f>
        <v>464081049.3589982</v>
      </c>
      <c r="F10" s="18">
        <f>F6*Assumptions!B9</f>
        <v>406062863.0351055</v>
      </c>
    </row>
    <row r="11" spans="1:6" x14ac:dyDescent="0.25">
      <c r="A11" t="s">
        <v>47</v>
      </c>
      <c r="B11" s="18">
        <f>-B6*Assumptions!B10</f>
        <v>-643055843.6734879</v>
      </c>
      <c r="C11" s="18">
        <f>-C6*Assumptions!B10</f>
        <v>-562662701.5565052</v>
      </c>
      <c r="D11" s="18">
        <f>-D6*Assumptions!B10</f>
        <v>-492320097.6051051</v>
      </c>
      <c r="E11" s="18">
        <f>-E6*Assumptions!B10</f>
        <v>-430771540.0992497</v>
      </c>
      <c r="F11" s="18">
        <f>-F6*Assumptions!B10</f>
        <v>-376917620.5931011</v>
      </c>
    </row>
    <row r="12" spans="1:6" x14ac:dyDescent="0.25">
      <c r="A12" t="s">
        <v>48</v>
      </c>
      <c r="B12" s="18">
        <f>-(B6-Assumptions!B29)*Assumptions!B11</f>
        <v>-38674403.58446211</v>
      </c>
      <c r="C12" s="18">
        <f>-(C6-B6)*Assumptions!B11</f>
        <v>-33839431.856510766</v>
      </c>
      <c r="D12" s="18">
        <f>-(D6-C6)*Assumptions!B11</f>
        <v>-29608915.516191605</v>
      </c>
      <c r="E12" s="18">
        <f>-(E6-D6)*Assumptions!B11</f>
        <v>-25907287.148389123</v>
      </c>
      <c r="F12" s="18">
        <f>-(F6-E6)*Assumptions!B11</f>
        <v>-22668426.576517157</v>
      </c>
    </row>
    <row r="13" spans="1:6" x14ac:dyDescent="0.25">
      <c r="A13" s="19" t="s">
        <v>49</v>
      </c>
      <c r="B13" s="20">
        <f>B9+B10+B11+B12</f>
        <v>1864211078.40888</v>
      </c>
      <c r="C13" s="20">
        <f>C9+C10+C11+C12</f>
        <v>1631152336.0974185</v>
      </c>
      <c r="D13" s="20">
        <f>D9+D10+D11+D12</f>
        <v>1427229981.8253198</v>
      </c>
      <c r="E13" s="20">
        <f>E9+E10+E11+E12</f>
        <v>1248801461.3611457</v>
      </c>
      <c r="F13" s="20">
        <f>F9+F10+F11+F12</f>
        <v>1092679602.9769804</v>
      </c>
    </row>
    <row r="14" spans="1:6" x14ac:dyDescent="0.25">
      <c r="A14" t="s">
        <v>50</v>
      </c>
      <c r="B14" s="21">
        <f>1/(1+Assumptions!$B$26)^(1-0.5*Assumptions!$B$32)</f>
        <v>0.9681886330597523</v>
      </c>
      <c r="C14" s="21">
        <f>1/(1+Assumptions!$B$26)^(2-0.5*Assumptions!$B$32)</f>
        <v>0.9075695964506364</v>
      </c>
      <c r="D14" s="21">
        <f>1/(1+Assumptions!$B$26)^(3-0.5*Assumptions!$B$32)</f>
        <v>0.8507459644496125</v>
      </c>
      <c r="E14" s="21">
        <f>1/(1+Assumptions!$B$26)^(4-0.5*Assumptions!$B$32)</f>
        <v>0.7974801038486174</v>
      </c>
      <c r="F14" s="21">
        <f>1/(1+Assumptions!$B$26)^(5-0.5*Assumptions!$B$32)</f>
        <v>0.7475492598379159</v>
      </c>
    </row>
    <row r="15" spans="1:6" x14ac:dyDescent="0.25">
      <c r="A15" s="19" t="s">
        <v>51</v>
      </c>
      <c r="B15" s="20">
        <f>B13*B14</f>
        <v>1804907975.7395403</v>
      </c>
      <c r="C15" s="20">
        <f>C13*C14</f>
        <v>1480384267.421447</v>
      </c>
      <c r="D15" s="20">
        <f>D13*D14</f>
        <v>1214210147.3793845</v>
      </c>
      <c r="E15" s="20">
        <f>E13*E14</f>
        <v>995894319.0925918</v>
      </c>
      <c r="F15" s="20">
        <f>F13*F14</f>
        <v>816831828.4454296</v>
      </c>
    </row>
    <row r="17" spans="1:2" x14ac:dyDescent="0.25">
      <c r="A17" s="22" t="s">
        <v>52</v>
      </c>
      <c r="B17" s="23">
        <f>SUM(B15:F15)</f>
        <v>6312228538.078393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1092679602.9769804</v>
      </c>
    </row>
    <row r="5" spans="1:2" x14ac:dyDescent="0.25">
      <c r="A5" t="s">
        <v>56</v>
      </c>
      <c r="B5" s="18">
        <f>IF(Assumptions!$B$33=0,B4,B4-Forecast!F11-Forecast!F10-Forecast!F12)</f>
        <v>1086202787.111493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0.303233526487729</v>
      </c>
    </row>
    <row r="7" spans="1:2" x14ac:dyDescent="0.25">
      <c r="A7" t="s">
        <v>58</v>
      </c>
      <c r="B7" s="18">
        <f>-MAX(Forecast!F9,0)*B6</f>
        <v>-329373101.61661804</v>
      </c>
    </row>
    <row r="8" spans="1:2" x14ac:dyDescent="0.25">
      <c r="A8" t="s">
        <v>59</v>
      </c>
      <c r="B8" s="18">
        <f>IF(OR(Assumptions!$B$33=0,Assumptions!B12&lt;=0),B5,MAX(B5+B7,0))</f>
        <v>756829685.4948751</v>
      </c>
    </row>
    <row r="9" spans="1:2" x14ac:dyDescent="0.25">
      <c r="A9" t="s">
        <v>60</v>
      </c>
      <c r="B9" s="18">
        <f>B8*(1+Assumptions!B12)/(Assumptions!B26-Assumptions!B12)</f>
        <v>18561858060.064846</v>
      </c>
    </row>
    <row r="10" spans="1:2" x14ac:dyDescent="0.25">
      <c r="A10" t="s">
        <v>61</v>
      </c>
      <c r="B10" s="18">
        <f>B9/(1+Assumptions!B26)^(5-0.5*Assumptions!B32)</f>
        <v>13875903254.01793</v>
      </c>
    </row>
    <row r="11" spans="1:2" x14ac:dyDescent="0.25">
      <c r="A11" t="s">
        <v>62</v>
      </c>
      <c r="B11" s="18">
        <f>Forecast!B17+B10</f>
        <v>20188131792.09632</v>
      </c>
    </row>
    <row r="12" spans="1:2" x14ac:dyDescent="0.25">
      <c r="A12" t="s">
        <v>63</v>
      </c>
      <c r="B12" s="18">
        <f>-Assumptions!B30</f>
        <v>-13204000000</v>
      </c>
    </row>
    <row r="13" spans="1:2" x14ac:dyDescent="0.25">
      <c r="A13" t="s">
        <v>64</v>
      </c>
      <c r="B13" s="18">
        <f>B11+B12</f>
        <v>6984131792.096321</v>
      </c>
    </row>
    <row r="14" spans="1:2" x14ac:dyDescent="0.25">
      <c r="A14" s="19" t="s">
        <v>65</v>
      </c>
      <c r="B14" s="24">
        <f>B13/Assumptions!B31</f>
        <v>10.966818521046628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1744856726.2034943</v>
      </c>
    </row>
    <row r="18" spans="1:2" x14ac:dyDescent="0.25">
      <c r="A18" t="s">
        <v>60</v>
      </c>
      <c r="B18" s="18">
        <f>B17*Assumptions!B13</f>
        <v>24580177282.616543</v>
      </c>
    </row>
    <row r="19" spans="1:2" x14ac:dyDescent="0.25">
      <c r="A19" t="s">
        <v>61</v>
      </c>
      <c r="B19" s="18">
        <f>B18/(1+Assumptions!B26)^(5-0.5*Assumptions!B32)</f>
        <v>18374893334.304752</v>
      </c>
    </row>
    <row r="20" spans="1:2" x14ac:dyDescent="0.25">
      <c r="A20" t="s">
        <v>62</v>
      </c>
      <c r="B20" s="18">
        <f>Forecast!B17+B19</f>
        <v>24687121872.383144</v>
      </c>
    </row>
    <row r="21" spans="1:2" x14ac:dyDescent="0.25">
      <c r="A21" t="s">
        <v>63</v>
      </c>
      <c r="B21" s="18">
        <f>-Assumptions!B30</f>
        <v>-13204000000</v>
      </c>
    </row>
    <row r="22" spans="1:2" x14ac:dyDescent="0.25">
      <c r="A22" t="s">
        <v>64</v>
      </c>
      <c r="B22" s="18">
        <f>B20+B21</f>
        <v>11483121872.383144</v>
      </c>
    </row>
    <row r="23" spans="1:2" x14ac:dyDescent="0.25">
      <c r="A23" s="19" t="s">
        <v>65</v>
      </c>
      <c r="B23" s="25">
        <f>B22/Assumptions!B31</f>
        <v>18.03134840210219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66.51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10.966818521046628</v>
      </c>
    </row>
    <row r="29" spans="1:2" x14ac:dyDescent="0.25">
      <c r="A29" s="19" t="s">
        <v>73</v>
      </c>
      <c r="B29" s="12">
        <f>B28/B26-1</f>
        <v>-0.8351102312276857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0.046793</v>
      </c>
      <c r="B5" s="31">
        <v>25.845359698372835</v>
      </c>
      <c r="C5" s="31">
        <v>29.618495018975278</v>
      </c>
      <c r="D5" s="31">
        <v>35.08434598237269</v>
      </c>
      <c r="E5" s="31">
        <v>43.75489583407956</v>
      </c>
      <c r="F5" s="31">
        <v>59.70633242490927</v>
      </c>
    </row>
    <row r="6" spans="1:6" x14ac:dyDescent="0.25">
      <c r="A6" s="30">
        <v>0.056793</v>
      </c>
      <c r="B6" s="31">
        <v>15.806486372594595</v>
      </c>
      <c r="C6" s="31">
        <v>17.30938785110543</v>
      </c>
      <c r="D6" s="31">
        <v>19.259629257716437</v>
      </c>
      <c r="E6" s="31">
        <v>21.907652831874586</v>
      </c>
      <c r="F6" s="31">
        <v>25.733738136430652</v>
      </c>
    </row>
    <row r="7" spans="1:6" x14ac:dyDescent="0.25">
      <c r="A7" s="30">
        <v>0.066793</v>
      </c>
      <c r="B7" s="31">
        <v>9.619033580611646</v>
      </c>
      <c r="C7" s="31">
        <v>10.229099992103825</v>
      </c>
      <c r="D7" s="32">
        <v>10.966637605272245</v>
      </c>
      <c r="E7" s="31">
        <v>11.883614675631426</v>
      </c>
      <c r="F7" s="31">
        <v>13.064691092397863</v>
      </c>
    </row>
    <row r="8" spans="1:6" x14ac:dyDescent="0.25">
      <c r="A8" s="30">
        <v>0.076793</v>
      </c>
      <c r="B8" s="31">
        <v>5.414196663308322</v>
      </c>
      <c r="C8" s="31">
        <v>5.616922065449164</v>
      </c>
      <c r="D8" s="31">
        <v>5.844472981392583</v>
      </c>
      <c r="E8" s="31">
        <v>6.104807496900106</v>
      </c>
      <c r="F8" s="31">
        <v>6.409692032029184</v>
      </c>
    </row>
    <row r="9" spans="1:6" x14ac:dyDescent="0.25">
      <c r="A9" s="30">
        <v>0.086793</v>
      </c>
      <c r="B9" s="31">
        <v>2.5154703984311606</v>
      </c>
      <c r="C9" s="31">
        <v>2.5830325858192746</v>
      </c>
      <c r="D9" s="31">
        <v>2.650594773207386</v>
      </c>
      <c r="E9" s="31">
        <v>2.7181569605955036</v>
      </c>
      <c r="F9" s="31">
        <v>2.785719147983615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7778000000</v>
      </c>
      <c r="C5" s="18">
        <v>7384000000</v>
      </c>
      <c r="D5" s="18">
        <v>6331000000</v>
      </c>
      <c r="E5" s="18">
        <v>11611000000</v>
      </c>
      <c r="F5" s="8" t="s">
        <v>84</v>
      </c>
    </row>
    <row r="6" spans="1:6" x14ac:dyDescent="0.25">
      <c r="A6" t="s">
        <v>44</v>
      </c>
      <c r="B6" s="18">
        <v>2696000000</v>
      </c>
      <c r="C6" s="18">
        <v>2876000000</v>
      </c>
      <c r="D6" s="18">
        <v>2424000000</v>
      </c>
      <c r="E6" s="18">
        <v>2595000000</v>
      </c>
      <c r="F6" s="8" t="s">
        <v>85</v>
      </c>
    </row>
    <row r="7" spans="1:6" x14ac:dyDescent="0.25">
      <c r="A7" t="s">
        <v>86</v>
      </c>
      <c r="B7" s="18">
        <v>987000000</v>
      </c>
      <c r="C7" s="18">
        <v>862000000</v>
      </c>
      <c r="D7" s="18">
        <v>663000000</v>
      </c>
      <c r="E7" s="18">
        <v>683000000</v>
      </c>
      <c r="F7" s="8" t="s">
        <v>87</v>
      </c>
    </row>
    <row r="8" spans="1:6" x14ac:dyDescent="0.25">
      <c r="A8" t="s">
        <v>88</v>
      </c>
      <c r="B8" s="18">
        <v>784000000</v>
      </c>
      <c r="C8" s="18">
        <v>955000000</v>
      </c>
      <c r="D8" s="18">
        <v>606000000</v>
      </c>
      <c r="E8" s="18">
        <v>605000000</v>
      </c>
      <c r="F8" s="8" t="s">
        <v>89</v>
      </c>
    </row>
    <row r="9" spans="1:6" x14ac:dyDescent="0.25">
      <c r="A9" t="s">
        <v>90</v>
      </c>
      <c r="B9" s="18">
        <v>-221000000</v>
      </c>
      <c r="C9" s="18">
        <v>43000000</v>
      </c>
      <c r="D9" s="18">
        <v>210000000</v>
      </c>
      <c r="E9" s="18">
        <v>-177000000</v>
      </c>
      <c r="F9" s="8" t="s">
        <v>91</v>
      </c>
    </row>
    <row r="10" spans="1:6" x14ac:dyDescent="0.25">
      <c r="A10" t="s">
        <v>92</v>
      </c>
      <c r="B10" s="18">
        <v>13310000000</v>
      </c>
      <c r="C10" s="18">
        <v>13321000000</v>
      </c>
      <c r="D10" s="18">
        <v>11143000000</v>
      </c>
      <c r="E10" s="18">
        <v>11275000000</v>
      </c>
      <c r="F10" s="8" t="s">
        <v>93</v>
      </c>
    </row>
    <row r="11" spans="1:6" x14ac:dyDescent="0.25">
      <c r="A11" t="s">
        <v>94</v>
      </c>
      <c r="B11" s="18">
        <v>106000000</v>
      </c>
      <c r="C11" s="18">
        <v>141000000</v>
      </c>
      <c r="D11" s="18">
        <v>137000000</v>
      </c>
      <c r="E11" s="18">
        <v>94000000</v>
      </c>
      <c r="F11" s="8" t="s">
        <v>95</v>
      </c>
    </row>
    <row r="12" spans="1:6" x14ac:dyDescent="0.25">
      <c r="A12" t="s">
        <v>32</v>
      </c>
      <c r="B12" s="34">
        <v>636842105</v>
      </c>
      <c r="C12" s="34">
        <v>574000000</v>
      </c>
      <c r="D12" s="34">
        <v>551000000</v>
      </c>
      <c r="E12" s="34">
        <v>554000000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2026-09-19T00:06:21Z</dcterms:modified>
</cp:coreProperties>
</file>